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2480" yWindow="0" windowWidth="21360" windowHeight="15760" firstSheet="2" activeTab="8"/>
  </bookViews>
  <sheets>
    <sheet name="(BUDGET)" sheetId="11" r:id="rId1"/>
    <sheet name="Cash" sheetId="1" r:id="rId2"/>
    <sheet name="9" sheetId="9" r:id="rId3"/>
    <sheet name="4" sheetId="8" r:id="rId4"/>
    <sheet name="Sponsor Categorized" sheetId="12" r:id="rId5"/>
    <sheet name="Meetings" sheetId="7" r:id="rId6"/>
    <sheet name="Members 12-13" sheetId="13" r:id="rId7"/>
    <sheet name="BERF" sheetId="15" r:id="rId8"/>
    <sheet name="Summary" sheetId="5" r:id="rId9"/>
    <sheet name="Sheet1" sheetId="14" state="hidden" r:id="rId10"/>
  </sheets>
  <definedNames>
    <definedName name="_xlnm.Print_Area" localSheetId="1">Cash!$A$1:$I$133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7" i="1" l="1"/>
  <c r="H143" i="15"/>
  <c r="H145" i="15"/>
  <c r="H128" i="15"/>
  <c r="H130" i="15"/>
  <c r="H120" i="15"/>
  <c r="H122" i="15"/>
  <c r="H108" i="15"/>
  <c r="H111" i="15"/>
  <c r="H96" i="15"/>
  <c r="H99" i="15"/>
  <c r="H41" i="15"/>
  <c r="H52" i="15"/>
  <c r="H62" i="15"/>
  <c r="H73" i="15"/>
  <c r="H75" i="15"/>
  <c r="H30" i="15"/>
  <c r="H32" i="15"/>
  <c r="H21" i="15"/>
  <c r="H23" i="15"/>
  <c r="K68" i="12"/>
  <c r="J51" i="12"/>
  <c r="K34" i="12"/>
  <c r="K29" i="12"/>
  <c r="K35" i="12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6" i="9"/>
  <c r="F7" i="9"/>
  <c r="F8" i="9"/>
  <c r="F9" i="9"/>
  <c r="F10" i="9"/>
  <c r="F11" i="9"/>
  <c r="F12" i="9"/>
  <c r="F13" i="9"/>
  <c r="F14" i="9"/>
  <c r="F15" i="9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K17" i="1"/>
  <c r="K12" i="1"/>
  <c r="E31" i="5"/>
  <c r="K18" i="1"/>
  <c r="H88" i="15"/>
  <c r="H90" i="15"/>
  <c r="H9" i="15"/>
  <c r="H12" i="15"/>
  <c r="I12" i="8"/>
  <c r="I14" i="8"/>
  <c r="F40" i="8"/>
  <c r="I5" i="8"/>
  <c r="I6" i="8"/>
  <c r="I11" i="8"/>
  <c r="I16" i="8"/>
  <c r="J6" i="9"/>
  <c r="J7" i="9"/>
  <c r="J8" i="9"/>
  <c r="J10" i="9"/>
  <c r="F36" i="9"/>
  <c r="E12" i="5"/>
  <c r="E10" i="5"/>
  <c r="E8" i="5"/>
  <c r="I26" i="8"/>
  <c r="I25" i="8"/>
  <c r="I27" i="8"/>
  <c r="I29" i="8"/>
  <c r="I88" i="12"/>
  <c r="I73" i="12"/>
  <c r="I51" i="12"/>
  <c r="I58" i="12"/>
  <c r="I61" i="12"/>
  <c r="I89" i="12"/>
  <c r="E62" i="5"/>
  <c r="D64" i="13"/>
  <c r="K11" i="1"/>
  <c r="K13" i="1"/>
  <c r="E29" i="5"/>
  <c r="K23" i="12"/>
  <c r="E19" i="5"/>
  <c r="C33" i="11"/>
  <c r="E69" i="13"/>
  <c r="E70" i="13"/>
  <c r="E71" i="13"/>
  <c r="E72" i="13"/>
  <c r="E73" i="13"/>
  <c r="E74" i="13"/>
  <c r="E23" i="5"/>
  <c r="C110" i="11"/>
  <c r="E17" i="5"/>
  <c r="E25" i="5"/>
  <c r="K86" i="12"/>
  <c r="K80" i="12"/>
  <c r="K81" i="12"/>
  <c r="K82" i="12"/>
  <c r="K79" i="12"/>
  <c r="K66" i="12"/>
  <c r="K69" i="12"/>
  <c r="K70" i="12"/>
  <c r="K65" i="12"/>
  <c r="K59" i="12"/>
  <c r="K57" i="12"/>
  <c r="K8" i="12"/>
  <c r="K9" i="12"/>
  <c r="K10" i="12"/>
  <c r="K11" i="12"/>
  <c r="K12" i="12"/>
  <c r="K13" i="12"/>
  <c r="K14" i="12"/>
  <c r="K15" i="12"/>
  <c r="K16" i="12"/>
  <c r="K18" i="12"/>
  <c r="K19" i="12"/>
  <c r="K20" i="12"/>
  <c r="K21" i="12"/>
  <c r="K22" i="12"/>
  <c r="K25" i="12"/>
  <c r="K26" i="12"/>
  <c r="K27" i="12"/>
  <c r="K28" i="12"/>
  <c r="K30" i="12"/>
  <c r="K32" i="12"/>
  <c r="K33" i="12"/>
  <c r="K36" i="12"/>
  <c r="K37" i="12"/>
  <c r="K38" i="12"/>
  <c r="K39" i="12"/>
  <c r="K40" i="12"/>
  <c r="K42" i="12"/>
  <c r="K43" i="12"/>
  <c r="K44" i="12"/>
  <c r="K45" i="12"/>
  <c r="K46" i="12"/>
  <c r="K47" i="12"/>
  <c r="K48" i="12"/>
  <c r="K49" i="12"/>
  <c r="K7" i="12"/>
  <c r="C89" i="11"/>
  <c r="C87" i="11"/>
  <c r="C21" i="11"/>
  <c r="C20" i="11"/>
  <c r="C16" i="11"/>
  <c r="C12" i="11"/>
  <c r="E27" i="5"/>
  <c r="H88" i="12"/>
  <c r="C56" i="11"/>
  <c r="K20" i="1"/>
  <c r="C13" i="11"/>
  <c r="H73" i="12"/>
  <c r="H61" i="12"/>
  <c r="H51" i="12"/>
  <c r="H89" i="12"/>
  <c r="K19" i="1"/>
  <c r="G73" i="12"/>
  <c r="G61" i="12"/>
  <c r="G51" i="12"/>
  <c r="G89" i="12"/>
  <c r="E40" i="7"/>
  <c r="E29" i="7"/>
  <c r="G88" i="12"/>
  <c r="F88" i="12"/>
  <c r="E88" i="12"/>
  <c r="D88" i="12"/>
  <c r="C88" i="12"/>
  <c r="E14" i="7"/>
  <c r="E50" i="5"/>
  <c r="F51" i="12"/>
  <c r="F73" i="12"/>
  <c r="F61" i="12"/>
  <c r="F89" i="12"/>
  <c r="D73" i="12"/>
  <c r="C73" i="12"/>
  <c r="C61" i="12"/>
  <c r="C51" i="12"/>
  <c r="C89" i="12"/>
  <c r="E67" i="12"/>
  <c r="K67" i="12"/>
  <c r="E61" i="12"/>
  <c r="D61" i="12"/>
  <c r="E51" i="12"/>
  <c r="D31" i="12"/>
  <c r="K31" i="12"/>
  <c r="E73" i="12"/>
  <c r="D51" i="12"/>
  <c r="D89" i="12"/>
  <c r="C113" i="11"/>
  <c r="C119" i="11"/>
  <c r="C61" i="11"/>
  <c r="C118" i="11"/>
  <c r="K58" i="12"/>
  <c r="E89" i="12"/>
  <c r="E46" i="5"/>
  <c r="E36" i="5"/>
  <c r="E21" i="5"/>
  <c r="E15" i="5"/>
  <c r="C121" i="11"/>
  <c r="E6" i="5"/>
</calcChain>
</file>

<file path=xl/sharedStrings.xml><?xml version="1.0" encoding="utf-8"?>
<sst xmlns="http://schemas.openxmlformats.org/spreadsheetml/2006/main" count="1146" uniqueCount="474">
  <si>
    <t>Reference</t>
  </si>
  <si>
    <t>Date</t>
  </si>
  <si>
    <t>2006-2007</t>
  </si>
  <si>
    <t>2007-2008</t>
  </si>
  <si>
    <t>2008-2009</t>
  </si>
  <si>
    <t>Dunkelberger Engineering &amp; Testing, Inc.</t>
  </si>
  <si>
    <t>Arellano Construction Co.</t>
  </si>
  <si>
    <t>Westhorp &amp; Associates, Inc.</t>
  </si>
  <si>
    <t>Desimone Consulting Engineers, Inc.</t>
  </si>
  <si>
    <t>Kimley-Horn &amp; Associates, Inc.</t>
  </si>
  <si>
    <t>Chen &amp; Associates, Inc.</t>
  </si>
  <si>
    <t xml:space="preserve">HNTB </t>
  </si>
  <si>
    <t>American Institute of Steel Construction, Inc.</t>
  </si>
  <si>
    <t>CDM</t>
  </si>
  <si>
    <t>Broward Branch "Bowlathon"</t>
  </si>
  <si>
    <t>Christopher Zavatsky</t>
  </si>
  <si>
    <t>Misa Metal</t>
  </si>
  <si>
    <t>Miami Dade Branch</t>
  </si>
  <si>
    <t>Julieta Rivero</t>
  </si>
  <si>
    <t>Florida Branch</t>
  </si>
  <si>
    <t>Calvin Giordano &amp; Associates, Inc.</t>
  </si>
  <si>
    <t>TOTAL</t>
  </si>
  <si>
    <t>Granite Construction Co.</t>
  </si>
  <si>
    <t>Kiewit Construction Co.</t>
  </si>
  <si>
    <t>Company</t>
  </si>
  <si>
    <t>Contact</t>
  </si>
  <si>
    <t>Thomas Tepper, P.E.</t>
  </si>
  <si>
    <t>Steven Goldstein, P.E.</t>
  </si>
  <si>
    <t>Malcolm Pirnie, Inc.</t>
  </si>
  <si>
    <t>CAE Department</t>
  </si>
  <si>
    <t>Langan Engineering &amp; Environmental Services</t>
  </si>
  <si>
    <t>Christina Gonzalez</t>
  </si>
  <si>
    <t>Javier Manso, EI</t>
  </si>
  <si>
    <t>First Name</t>
  </si>
  <si>
    <t>Last Name</t>
  </si>
  <si>
    <t>Sophomores</t>
  </si>
  <si>
    <t>Juniors</t>
  </si>
  <si>
    <t>Seniors</t>
  </si>
  <si>
    <t>Description</t>
  </si>
  <si>
    <t>Meeting</t>
  </si>
  <si>
    <t>Freshmen</t>
  </si>
  <si>
    <t>University of Miami American Society of Civil Engineers Sponsorship</t>
  </si>
  <si>
    <t>Jim Hyde</t>
  </si>
  <si>
    <t>Adam Gersh</t>
  </si>
  <si>
    <t>Robbie Stansifer</t>
  </si>
  <si>
    <t>Dolphin Stadium</t>
  </si>
  <si>
    <t>Miller Legg &amp; Associates, Inc.</t>
  </si>
  <si>
    <t>Albert Sosa, P.E.</t>
  </si>
  <si>
    <t>Hyde Sheet Metal, Inc.</t>
  </si>
  <si>
    <t>HDR, Inc.</t>
  </si>
  <si>
    <t>Accounts Receivable</t>
  </si>
  <si>
    <t>Sponsorship</t>
  </si>
  <si>
    <t>Membership Dues</t>
  </si>
  <si>
    <t>Miscellaneous</t>
  </si>
  <si>
    <t>Accounts Payable</t>
  </si>
  <si>
    <t>Florida Annual Conference</t>
  </si>
  <si>
    <t>Meetings</t>
  </si>
  <si>
    <t>Account Balance</t>
  </si>
  <si>
    <t>Category</t>
  </si>
  <si>
    <t>Membership</t>
  </si>
  <si>
    <t>In</t>
  </si>
  <si>
    <t>Out</t>
  </si>
  <si>
    <t>Clothing</t>
  </si>
  <si>
    <t>First Semester</t>
  </si>
  <si>
    <t>Second Semester</t>
  </si>
  <si>
    <t>Deposit</t>
  </si>
  <si>
    <t>Balance</t>
  </si>
  <si>
    <t>9 ACCOUNT</t>
  </si>
  <si>
    <t>4 ACCOUNT</t>
  </si>
  <si>
    <t>(SAFAC)</t>
  </si>
  <si>
    <t>Person</t>
  </si>
  <si>
    <t>PETTY CASH</t>
  </si>
  <si>
    <t>Small Events</t>
  </si>
  <si>
    <t>Steel Bridge</t>
  </si>
  <si>
    <t>Lodging</t>
  </si>
  <si>
    <t>Sponsorship BBQ</t>
  </si>
  <si>
    <t xml:space="preserve">TOTAL = </t>
  </si>
  <si>
    <t>Transportation</t>
  </si>
  <si>
    <t>Registration</t>
  </si>
  <si>
    <t>Grad</t>
  </si>
  <si>
    <t>Dr. Antonio Nanni</t>
  </si>
  <si>
    <t>Dragados USA, Inc.</t>
  </si>
  <si>
    <t>Marco Osorio, E.I.</t>
  </si>
  <si>
    <t>Grace</t>
  </si>
  <si>
    <t>Hazen and Sawyer</t>
  </si>
  <si>
    <t>Peter Robinson, P.E.</t>
  </si>
  <si>
    <t>SAFAC Regular</t>
  </si>
  <si>
    <t>SAFAC Supplemental</t>
  </si>
  <si>
    <t>Brenda Westhorp, P.E.</t>
  </si>
  <si>
    <t>HENAAC Viva Technology</t>
  </si>
  <si>
    <t>4-Account</t>
  </si>
  <si>
    <t>9-Account</t>
  </si>
  <si>
    <t>ASCE Sponsorship</t>
  </si>
  <si>
    <t>Clothing Sales</t>
  </si>
  <si>
    <t>Conference Fee</t>
  </si>
  <si>
    <t xml:space="preserve">   Steel Bridge </t>
  </si>
  <si>
    <t xml:space="preserve">   Canoe</t>
  </si>
  <si>
    <t xml:space="preserve">   Small Events</t>
  </si>
  <si>
    <t xml:space="preserve">   Transportation</t>
  </si>
  <si>
    <t xml:space="preserve">   Lodging</t>
  </si>
  <si>
    <t xml:space="preserve">   Miscellaneous</t>
  </si>
  <si>
    <t xml:space="preserve">   Registration</t>
  </si>
  <si>
    <t xml:space="preserve">Cash </t>
  </si>
  <si>
    <t>Summary of Finances</t>
  </si>
  <si>
    <t>Concrete Canoe</t>
  </si>
  <si>
    <t>Brad Piechoski</t>
  </si>
  <si>
    <t>Year</t>
  </si>
  <si>
    <t>C Number</t>
  </si>
  <si>
    <t>ASCE #</t>
  </si>
  <si>
    <t>Phone #</t>
  </si>
  <si>
    <t>T-Shirt</t>
  </si>
  <si>
    <t>PAID</t>
  </si>
  <si>
    <t>SAFAC - Regular Budget</t>
  </si>
  <si>
    <t>Email</t>
  </si>
  <si>
    <t>Patrick Kaimrajh</t>
  </si>
  <si>
    <t>Reem Madkour</t>
  </si>
  <si>
    <t>Conference</t>
  </si>
  <si>
    <t>Florida Branch Scholarship</t>
  </si>
  <si>
    <t>Bliss &amp; Nyitrary</t>
  </si>
  <si>
    <t>2009-20010</t>
  </si>
  <si>
    <t>Withdrawal</t>
  </si>
  <si>
    <t>Walker Engineering</t>
  </si>
  <si>
    <t>Membership Totals</t>
  </si>
  <si>
    <t>EXPENSES</t>
  </si>
  <si>
    <t>School Registration Fee</t>
  </si>
  <si>
    <t>Gas for Truck &amp; Trailer</t>
  </si>
  <si>
    <t>Competitions</t>
  </si>
  <si>
    <t>Other</t>
  </si>
  <si>
    <t>WSCL</t>
  </si>
  <si>
    <t>Florida Section</t>
  </si>
  <si>
    <t>Section Board Meeting (Fall)</t>
  </si>
  <si>
    <t>Section Board Meeting (Spring)</t>
  </si>
  <si>
    <t>Meeting Expenses</t>
  </si>
  <si>
    <t>Sponsorhip Barbeque</t>
  </si>
  <si>
    <t>TOTAL EXPENSES</t>
  </si>
  <si>
    <t>INCOME</t>
  </si>
  <si>
    <t xml:space="preserve">Hazen and Sawyer </t>
  </si>
  <si>
    <t>Conference Dues</t>
  </si>
  <si>
    <t>Annual Stipend</t>
  </si>
  <si>
    <t>Southeast Student Conference Stipend</t>
  </si>
  <si>
    <t>University of Miami</t>
  </si>
  <si>
    <t>Civil, Architectural &amp; Environmental Engineering Department</t>
  </si>
  <si>
    <r>
      <rPr>
        <b/>
        <u/>
        <sz val="11"/>
        <color indexed="8"/>
        <rFont val="Calibri"/>
        <family val="2"/>
      </rPr>
      <t>SAFAC</t>
    </r>
    <r>
      <rPr>
        <u/>
        <sz val="11"/>
        <color indexed="8"/>
        <rFont val="Calibri"/>
        <family val="2"/>
      </rPr>
      <t xml:space="preserve"> (Student Activity Fee Allocation Committee)</t>
    </r>
  </si>
  <si>
    <t>Regular Budget Request</t>
  </si>
  <si>
    <t>Supplemental Budget Request (WSCL)</t>
  </si>
  <si>
    <t>Supplemental Budget Request (Conference)</t>
  </si>
  <si>
    <t>TOTAL INCOME</t>
  </si>
  <si>
    <t>SURPLUS/DEFICIT</t>
  </si>
  <si>
    <t>Note:</t>
  </si>
  <si>
    <t>Meetings 1st Semester</t>
  </si>
  <si>
    <t>SAFAC</t>
  </si>
  <si>
    <t>Florida Section Board Meeting</t>
  </si>
  <si>
    <t>Walker Engineering, Ltd</t>
  </si>
  <si>
    <t>Eduardo Esteves</t>
  </si>
  <si>
    <t>National ASCE Branch</t>
  </si>
  <si>
    <t>ASCE National and Florida Section</t>
  </si>
  <si>
    <t>Pete Robinson</t>
  </si>
  <si>
    <t>Pete Robinson, P.E.</t>
  </si>
  <si>
    <t>Outside Sponsorship - Companies and Persons</t>
  </si>
  <si>
    <t>Florida Section ASCE</t>
  </si>
  <si>
    <t>TOTAL:</t>
  </si>
  <si>
    <t>ASCE PERSONAL FUNDS</t>
  </si>
  <si>
    <t>2010-2011</t>
  </si>
  <si>
    <t>CAE / UM Sponsorship</t>
  </si>
  <si>
    <t>ASCE Branch / Organization Sponsorship</t>
  </si>
  <si>
    <t>GRAND TOTALS:</t>
  </si>
  <si>
    <t>Plan to apply for SAFAC for the larger events</t>
  </si>
  <si>
    <t>Gopman Consulting Engineers</t>
  </si>
  <si>
    <t>Herbert Gopman</t>
  </si>
  <si>
    <t>Newell Baker</t>
  </si>
  <si>
    <t>Walter Lista</t>
  </si>
  <si>
    <t>University of Miami American Society of Civil Engineers Alumni Network</t>
  </si>
  <si>
    <t>Alumni  Network</t>
  </si>
  <si>
    <t>Omar De Leon</t>
  </si>
  <si>
    <t>Alumni Network</t>
  </si>
  <si>
    <t>Cost</t>
  </si>
  <si>
    <t>HJ Foundation</t>
  </si>
  <si>
    <t>Andres Baquerizo, PE</t>
  </si>
  <si>
    <t>Home Depot</t>
  </si>
  <si>
    <t>Total:</t>
  </si>
  <si>
    <t>Sergio Donikian</t>
  </si>
  <si>
    <t>Odebrecht</t>
  </si>
  <si>
    <t>National Sponsorship (WSCL)</t>
  </si>
  <si>
    <t xml:space="preserve"> T-Shirts [50 People x $13 per Shirt]</t>
  </si>
  <si>
    <t>Jose Acosta, P.E</t>
  </si>
  <si>
    <t>Sergio Donikian Contractors</t>
  </si>
  <si>
    <t>Rodrigo Ariza</t>
  </si>
  <si>
    <t>Staples</t>
  </si>
  <si>
    <t>Reimbursement</t>
  </si>
  <si>
    <t>Publix</t>
  </si>
  <si>
    <t>BERF Date:</t>
  </si>
  <si>
    <t>Grand Total:</t>
  </si>
  <si>
    <t>Shell Lumber</t>
  </si>
  <si>
    <t>Actual Balance:</t>
  </si>
  <si>
    <t>Target</t>
  </si>
  <si>
    <t>Income</t>
  </si>
  <si>
    <t>Expenses</t>
  </si>
  <si>
    <t>Misc</t>
  </si>
  <si>
    <t>End of the Year Banquet</t>
  </si>
  <si>
    <t>Meetings 2nd Semester</t>
  </si>
  <si>
    <t>Adriana Jaegerman</t>
  </si>
  <si>
    <t>Shannon Snyder</t>
  </si>
  <si>
    <t>Paul Carter</t>
  </si>
  <si>
    <t>Manny Ryall</t>
  </si>
  <si>
    <t>PBS&amp;J (Atkins)</t>
  </si>
  <si>
    <t>Patricia Walker, P.E.</t>
  </si>
  <si>
    <t>Cateogry</t>
  </si>
  <si>
    <t>Starting Balance</t>
  </si>
  <si>
    <t>Sarah Borace, E.I</t>
  </si>
  <si>
    <t>2011-2012</t>
  </si>
  <si>
    <t>Senior</t>
  </si>
  <si>
    <t>M</t>
  </si>
  <si>
    <t>Youssef Hachem Consulting Engingeering, Inc.</t>
  </si>
  <si>
    <t>Student Late Registration Fee [5 People x $75 per Person]</t>
  </si>
  <si>
    <t>Charter Bus</t>
  </si>
  <si>
    <t>Arellano</t>
  </si>
  <si>
    <t>YHC Engineering</t>
  </si>
  <si>
    <t>Baker</t>
  </si>
  <si>
    <t>Schuering</t>
  </si>
  <si>
    <t>Kiewit</t>
  </si>
  <si>
    <t>Turner</t>
  </si>
  <si>
    <t>James and Karen Schuering</t>
  </si>
  <si>
    <t>James Schuering</t>
  </si>
  <si>
    <t>Food</t>
  </si>
  <si>
    <t>Concrete Strategies</t>
  </si>
  <si>
    <t>Kimley Horn</t>
  </si>
  <si>
    <t>Simpson Gumpertz &amp; Heger INC.</t>
  </si>
  <si>
    <t>DOB</t>
  </si>
  <si>
    <t>SGH Engineering</t>
  </si>
  <si>
    <t>Langan</t>
  </si>
  <si>
    <t>Kimley-Horn</t>
  </si>
  <si>
    <t>Chen-Moore</t>
  </si>
  <si>
    <t>Annual Student Conference (Summer)</t>
  </si>
  <si>
    <t>Capital</t>
  </si>
  <si>
    <t>Mami-Dade Branch</t>
  </si>
  <si>
    <t>Chavez-Grieves Consulting Engineers, Inc.</t>
  </si>
  <si>
    <t>Materials</t>
  </si>
  <si>
    <t>Peter Robinson</t>
  </si>
  <si>
    <t>Bolton Perez &amp; Associates</t>
  </si>
  <si>
    <t>Student Regular Registration Fee 40 People x $55 per Person]</t>
  </si>
  <si>
    <t>Truck Usage - (100 + 50) x $0.35</t>
  </si>
  <si>
    <t>National Conference Washington</t>
  </si>
  <si>
    <t>SCS Engineers</t>
  </si>
  <si>
    <t>[40 People x $40 per Person]</t>
  </si>
  <si>
    <t>Kim</t>
  </si>
  <si>
    <t>[60 People x $20 per Person]</t>
  </si>
  <si>
    <t>Beginning of the School Year 2012</t>
  </si>
  <si>
    <t>2012-2013</t>
  </si>
  <si>
    <t>Morfin</t>
  </si>
  <si>
    <t>Jones</t>
  </si>
  <si>
    <t>Brzoska</t>
  </si>
  <si>
    <t>Funakoshi</t>
  </si>
  <si>
    <t>Gonzalez</t>
  </si>
  <si>
    <t>Antmann</t>
  </si>
  <si>
    <t>Vinci</t>
  </si>
  <si>
    <t>Praca</t>
  </si>
  <si>
    <t>Gater</t>
  </si>
  <si>
    <t>Etienne</t>
  </si>
  <si>
    <t>Mayes</t>
  </si>
  <si>
    <t>Cerjan</t>
  </si>
  <si>
    <t>Arguelles</t>
  </si>
  <si>
    <t>Amezcua</t>
  </si>
  <si>
    <t>Goolabsingh</t>
  </si>
  <si>
    <t>Rakhimbekova</t>
  </si>
  <si>
    <t>Ramaji</t>
  </si>
  <si>
    <t>Claure</t>
  </si>
  <si>
    <t>Seed</t>
  </si>
  <si>
    <t>Andres</t>
  </si>
  <si>
    <t>Athena</t>
  </si>
  <si>
    <t>Brendan</t>
  </si>
  <si>
    <t>Caroline</t>
  </si>
  <si>
    <t>Codi</t>
  </si>
  <si>
    <t>Elena</t>
  </si>
  <si>
    <t>Eric</t>
  </si>
  <si>
    <t>Erikka</t>
  </si>
  <si>
    <t>Hannah</t>
  </si>
  <si>
    <t>Kyle</t>
  </si>
  <si>
    <t>Laurent</t>
  </si>
  <si>
    <t>Lisa</t>
  </si>
  <si>
    <t>Mackenzie</t>
  </si>
  <si>
    <t>Maria</t>
  </si>
  <si>
    <t>Matthew</t>
  </si>
  <si>
    <t>Michael</t>
  </si>
  <si>
    <t>Miguel</t>
  </si>
  <si>
    <t>Raul</t>
  </si>
  <si>
    <t>Rhian</t>
  </si>
  <si>
    <t>Sabina</t>
  </si>
  <si>
    <t>Sathvika</t>
  </si>
  <si>
    <t>Sergio</t>
  </si>
  <si>
    <t>Junior</t>
  </si>
  <si>
    <t>Freshman</t>
  </si>
  <si>
    <t>S</t>
  </si>
  <si>
    <t>XL</t>
  </si>
  <si>
    <t>L</t>
  </si>
  <si>
    <t>XS</t>
  </si>
  <si>
    <t>XS/S</t>
  </si>
  <si>
    <t>f.praca@umiami.edu</t>
  </si>
  <si>
    <t>h.mckool@umiami.edu</t>
  </si>
  <si>
    <t>k.macdonald@umiami.edu</t>
  </si>
  <si>
    <t>l.mayes@umiami.edu</t>
  </si>
  <si>
    <t>m.cerjan@umiami.edu</t>
  </si>
  <si>
    <t>m.arguelles3@umiami.edu</t>
  </si>
  <si>
    <t>s.ramaji@umiami.edu</t>
  </si>
  <si>
    <t>Sophomore</t>
  </si>
  <si>
    <t>SESC Conference 2013</t>
  </si>
  <si>
    <t>s.claure@umiami.edu</t>
  </si>
  <si>
    <t>z.seed@umiami.edu</t>
  </si>
  <si>
    <t>e.antmann@umiami.edu</t>
  </si>
  <si>
    <t>Maggie</t>
  </si>
  <si>
    <t>Giraldo</t>
  </si>
  <si>
    <t>maggs.g@gmail.com</t>
  </si>
  <si>
    <t>Broward Branch</t>
  </si>
  <si>
    <t>Meeting Food</t>
  </si>
  <si>
    <t>Leonard</t>
  </si>
  <si>
    <t>Zak</t>
  </si>
  <si>
    <t>Leonard Allen</t>
  </si>
  <si>
    <t>Payment for team registration</t>
  </si>
  <si>
    <t>Florida Concrete Products</t>
  </si>
  <si>
    <t>Hector</t>
  </si>
  <si>
    <t>ASCE FL Section stipend</t>
  </si>
  <si>
    <t>CHECK:</t>
  </si>
  <si>
    <t>Total deposited</t>
  </si>
  <si>
    <t>Total withdrawn</t>
  </si>
  <si>
    <t>Balance remaining</t>
  </si>
  <si>
    <t>Internal - Kim</t>
  </si>
  <si>
    <t>OrgSync</t>
  </si>
  <si>
    <t>Yes</t>
  </si>
  <si>
    <t>Meichtry</t>
  </si>
  <si>
    <t>Donation</t>
  </si>
  <si>
    <t>Bus</t>
  </si>
  <si>
    <t>Miami-Dade ASCE</t>
  </si>
  <si>
    <t>Raul - BERF</t>
  </si>
  <si>
    <t>Metals Depot</t>
  </si>
  <si>
    <t>Morrison</t>
  </si>
  <si>
    <t>Camlyn</t>
  </si>
  <si>
    <t>Jordan</t>
  </si>
  <si>
    <t>Josh</t>
  </si>
  <si>
    <t>Pearl Paint</t>
  </si>
  <si>
    <t>CVS</t>
  </si>
  <si>
    <t>Fabi</t>
  </si>
  <si>
    <t>Balsa</t>
  </si>
  <si>
    <t>Hotel</t>
  </si>
  <si>
    <t>Banquet</t>
  </si>
  <si>
    <t>Leadership Conference</t>
  </si>
  <si>
    <t>University of Miami
American Society of Civil Engineers
Budget 2012-2013</t>
  </si>
  <si>
    <t>ASCE PAID MEMBERS 2012-2013</t>
  </si>
  <si>
    <t>Kapadia</t>
  </si>
  <si>
    <t>Kunal</t>
  </si>
  <si>
    <t>Lavonas</t>
  </si>
  <si>
    <t>Phil</t>
  </si>
  <si>
    <t>Steffanowics</t>
  </si>
  <si>
    <t>Jessica</t>
  </si>
  <si>
    <t>MacDonald</t>
  </si>
  <si>
    <t>Kimberly</t>
  </si>
  <si>
    <t>Briel</t>
  </si>
  <si>
    <t>Alex</t>
  </si>
  <si>
    <t>Baer</t>
  </si>
  <si>
    <t>Kenneth</t>
  </si>
  <si>
    <t>Barrera</t>
  </si>
  <si>
    <t>Lery</t>
  </si>
  <si>
    <t>Madeline</t>
  </si>
  <si>
    <t xml:space="preserve">McKool </t>
  </si>
  <si>
    <t>Marini</t>
  </si>
  <si>
    <t>Juniper</t>
  </si>
  <si>
    <t>Lopez</t>
  </si>
  <si>
    <t>Jimena</t>
  </si>
  <si>
    <t>Camara De Silva</t>
  </si>
  <si>
    <t>Otavio Luis</t>
  </si>
  <si>
    <t>Aratoon</t>
  </si>
  <si>
    <t>Brad</t>
  </si>
  <si>
    <t xml:space="preserve">Castaneda </t>
  </si>
  <si>
    <t xml:space="preserve">Velarde </t>
  </si>
  <si>
    <t xml:space="preserve">Jaycus </t>
  </si>
  <si>
    <t>Shwartz</t>
  </si>
  <si>
    <t>Milton</t>
  </si>
  <si>
    <t>Treaster</t>
  </si>
  <si>
    <t>Chloe</t>
  </si>
  <si>
    <t>Ross</t>
  </si>
  <si>
    <t>Ebone</t>
  </si>
  <si>
    <t>Doggart</t>
  </si>
  <si>
    <t>Jonas</t>
  </si>
  <si>
    <t>Madfes</t>
  </si>
  <si>
    <t>Mallory</t>
  </si>
  <si>
    <t>Laurini Malara</t>
  </si>
  <si>
    <t>Carol</t>
  </si>
  <si>
    <t>Salamao Pavan</t>
  </si>
  <si>
    <t>Bruno</t>
  </si>
  <si>
    <t>Zanatta</t>
  </si>
  <si>
    <t>Rodrigo</t>
  </si>
  <si>
    <t>Marino</t>
  </si>
  <si>
    <t>Rich</t>
  </si>
  <si>
    <t>Herrera</t>
  </si>
  <si>
    <t>Rodriguez</t>
  </si>
  <si>
    <t xml:space="preserve">Jen </t>
  </si>
  <si>
    <t>Leon</t>
  </si>
  <si>
    <t>Crystal</t>
  </si>
  <si>
    <t>Pascual</t>
  </si>
  <si>
    <t>Christian</t>
  </si>
  <si>
    <t>k.kapadia@umiami.edu</t>
  </si>
  <si>
    <t>p.lavonas@umiami.du</t>
  </si>
  <si>
    <t>jas921@me.com</t>
  </si>
  <si>
    <t>alex-briel@verizon.net</t>
  </si>
  <si>
    <t>k.baer1@umiami.edu</t>
  </si>
  <si>
    <t>l.barreraallen@umiami.edu</t>
  </si>
  <si>
    <t>j.jordan8@umiami.edu</t>
  </si>
  <si>
    <t>maddielery2017@gmail.com</t>
  </si>
  <si>
    <t>k.gater@umiami.edu</t>
  </si>
  <si>
    <t>j.marini1@med.miami.edu</t>
  </si>
  <si>
    <t>j.lopez45@umiami.edu</t>
  </si>
  <si>
    <t>otaviocs@matrise.com.br</t>
  </si>
  <si>
    <t>c.morrison5@umiami.edu</t>
  </si>
  <si>
    <t>b.aratoon@umiami.edu</t>
  </si>
  <si>
    <t>h.castaneda@umiami.edu</t>
  </si>
  <si>
    <t>j.doggart@umiami.edu</t>
  </si>
  <si>
    <t>r.zanatta@umiami.edu</t>
  </si>
  <si>
    <t>a.jones18@umiami.edu</t>
  </si>
  <si>
    <t>r.marino1@umiami.edu</t>
  </si>
  <si>
    <t>michael9951@yahoo.com</t>
  </si>
  <si>
    <t>c.leon7@umiami.edu</t>
  </si>
  <si>
    <t>Jen</t>
  </si>
  <si>
    <t>16 rooms x $100 per Room per Night x 1 Night x 15.25% Tax</t>
  </si>
  <si>
    <t>8 x $60</t>
  </si>
  <si>
    <t>Central Florida Equipment</t>
  </si>
  <si>
    <t xml:space="preserve">Omaha </t>
  </si>
  <si>
    <t>Follet Higher Education Group</t>
  </si>
  <si>
    <t>Miami-Dade Branch</t>
  </si>
  <si>
    <t>ASCE TSU</t>
  </si>
  <si>
    <t>Concrete</t>
  </si>
  <si>
    <t>Laurent - BERF</t>
  </si>
  <si>
    <t>Environmental</t>
  </si>
  <si>
    <t>Eric - BERF</t>
  </si>
  <si>
    <t>Kenneth - BERF</t>
  </si>
  <si>
    <t>Hector - BERF</t>
  </si>
  <si>
    <t>Fabi - BERF</t>
  </si>
  <si>
    <t xml:space="preserve">Sponsorship </t>
  </si>
  <si>
    <t>Hannah - BERF</t>
  </si>
  <si>
    <t>Mackenzie - BERF</t>
  </si>
  <si>
    <t>E-board Dinner</t>
  </si>
  <si>
    <t>Josh - BERF</t>
  </si>
  <si>
    <t>SAFAC - Supp. Budget</t>
  </si>
  <si>
    <t>PCARD</t>
  </si>
  <si>
    <t>Bus Driver Hotel</t>
  </si>
  <si>
    <t>2013-2014</t>
  </si>
  <si>
    <t>Central Florida Construction</t>
  </si>
  <si>
    <t>Omaha</t>
  </si>
  <si>
    <t>Papa John's</t>
  </si>
  <si>
    <t>Officer Meeting</t>
  </si>
  <si>
    <t>Pizza Hut</t>
  </si>
  <si>
    <t xml:space="preserve">Officer Meeting </t>
  </si>
  <si>
    <t>Win Dixie + Chili's</t>
  </si>
  <si>
    <t>Publix + Boston Market</t>
  </si>
  <si>
    <t>Canoe Meeting</t>
  </si>
  <si>
    <t>Dunkin Donuts + Publix</t>
  </si>
  <si>
    <t>Ruben's Cuban</t>
  </si>
  <si>
    <t>Shorty's + Dominoes</t>
  </si>
  <si>
    <t>Utrecht</t>
  </si>
  <si>
    <t xml:space="preserve">Environmental </t>
  </si>
  <si>
    <t xml:space="preserve">Specialized Balsa Wood, LLC </t>
  </si>
  <si>
    <t>Ruben's Cuban Restaurant</t>
  </si>
  <si>
    <t>C&amp;R Metals</t>
  </si>
  <si>
    <t>Uhaul</t>
  </si>
  <si>
    <t>McDonald's</t>
  </si>
  <si>
    <t>Gaswick</t>
  </si>
  <si>
    <t>Bull's Express</t>
  </si>
  <si>
    <t>Walmart</t>
  </si>
  <si>
    <t>7-Eleven</t>
  </si>
  <si>
    <t>Tom Thomb Gas</t>
  </si>
  <si>
    <t>Boston Market</t>
  </si>
  <si>
    <t>Winn Dixie</t>
  </si>
  <si>
    <t>Chili's</t>
  </si>
  <si>
    <t>Dunkin Donuts</t>
  </si>
  <si>
    <t>Post Office</t>
  </si>
  <si>
    <t>Sykes Printing</t>
  </si>
  <si>
    <t xml:space="preserve">Home Depot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</si>
</sst>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;@"/>
    <numFmt numFmtId="166" formatCode="&quot;$&quot;#,##0.00;[Red]&quot;$&quot;#,##0.00"/>
    <numFmt numFmtId="167" formatCode="m/d/yy;@"/>
    <numFmt numFmtId="168" formatCode="mm/dd/yy;@"/>
    <numFmt numFmtId="169" formatCode="m/d;@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u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8"/>
      <name val="Book Antiqua"/>
      <family val="1"/>
    </font>
    <font>
      <sz val="18"/>
      <name val="Book Antiqua"/>
      <family val="1"/>
    </font>
    <font>
      <sz val="11"/>
      <name val="Book Antiqua"/>
      <family val="1"/>
    </font>
    <font>
      <b/>
      <sz val="14"/>
      <name val="Book Antiqua"/>
      <family val="1"/>
    </font>
    <font>
      <b/>
      <u/>
      <sz val="11"/>
      <name val="Book Antiqua"/>
      <family val="1"/>
    </font>
    <font>
      <b/>
      <u/>
      <sz val="12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b/>
      <sz val="11"/>
      <name val="Book Antiqua"/>
      <family val="1"/>
    </font>
    <font>
      <b/>
      <sz val="26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u val="singleAccounting"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1"/>
      <color theme="1"/>
      <name val="Book Antiqua"/>
      <family val="1"/>
    </font>
    <font>
      <i/>
      <sz val="10"/>
      <color indexed="8"/>
      <name val="Book Antiqua"/>
      <family val="1"/>
    </font>
    <font>
      <b/>
      <sz val="15"/>
      <color indexed="8"/>
      <name val="Book Antiqua"/>
      <family val="1"/>
    </font>
    <font>
      <sz val="15"/>
      <color indexed="8"/>
      <name val="Book Antiqua"/>
      <family val="1"/>
    </font>
    <font>
      <b/>
      <sz val="14"/>
      <color indexed="8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10"/>
      <name val="Book Antiqua"/>
      <family val="1"/>
    </font>
    <font>
      <b/>
      <sz val="16"/>
      <color indexed="8"/>
      <name val="Book Antiqua"/>
      <family val="1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  <font>
      <b/>
      <i/>
      <u/>
      <sz val="13"/>
      <color indexed="8"/>
      <name val="Book Antiqua"/>
      <family val="1"/>
    </font>
    <font>
      <b/>
      <u/>
      <sz val="18"/>
      <color indexed="8"/>
      <name val="Book Antiqua"/>
      <family val="1"/>
    </font>
    <font>
      <sz val="14"/>
      <color indexed="8"/>
      <name val="Book Antiqua"/>
      <family val="1"/>
    </font>
    <font>
      <sz val="14"/>
      <name val="Book Antiqua"/>
      <family val="1"/>
    </font>
    <font>
      <b/>
      <u/>
      <sz val="14"/>
      <color indexed="8"/>
      <name val="Book Antiqua"/>
      <family val="1"/>
    </font>
    <font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4"/>
      <color theme="0"/>
      <name val="Calibri"/>
      <family val="2"/>
      <scheme val="minor"/>
    </font>
    <font>
      <u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u/>
      <sz val="14"/>
      <color theme="10"/>
      <name val="Calibri"/>
      <family val="2"/>
    </font>
    <font>
      <u/>
      <sz val="14"/>
      <name val="Book Antiqua"/>
      <family val="1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402">
    <xf numFmtId="0" fontId="0" fillId="0" borderId="0" xfId="0"/>
    <xf numFmtId="0" fontId="0" fillId="0" borderId="0" xfId="0" applyFill="1"/>
    <xf numFmtId="7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4" fillId="0" borderId="5" xfId="0" applyFont="1" applyBorder="1"/>
    <xf numFmtId="0" fontId="0" fillId="0" borderId="6" xfId="0" applyBorder="1"/>
    <xf numFmtId="0" fontId="4" fillId="0" borderId="8" xfId="0" applyFont="1" applyBorder="1"/>
    <xf numFmtId="0" fontId="8" fillId="0" borderId="8" xfId="0" applyFont="1" applyBorder="1"/>
    <xf numFmtId="7" fontId="8" fillId="0" borderId="9" xfId="0" applyNumberFormat="1" applyFont="1" applyBorder="1"/>
    <xf numFmtId="0" fontId="8" fillId="0" borderId="8" xfId="0" applyFont="1" applyFill="1" applyBorder="1"/>
    <xf numFmtId="0" fontId="8" fillId="0" borderId="10" xfId="0" applyFont="1" applyFill="1" applyBorder="1"/>
    <xf numFmtId="0" fontId="8" fillId="0" borderId="11" xfId="0" applyFont="1" applyBorder="1"/>
    <xf numFmtId="164" fontId="3" fillId="0" borderId="7" xfId="0" applyNumberFormat="1" applyFont="1" applyBorder="1"/>
    <xf numFmtId="0" fontId="0" fillId="0" borderId="8" xfId="0" applyBorder="1"/>
    <xf numFmtId="164" fontId="0" fillId="0" borderId="9" xfId="0" applyNumberFormat="1" applyBorder="1"/>
    <xf numFmtId="0" fontId="3" fillId="0" borderId="8" xfId="0" applyFont="1" applyBorder="1"/>
    <xf numFmtId="0" fontId="3" fillId="0" borderId="10" xfId="0" applyFont="1" applyBorder="1"/>
    <xf numFmtId="0" fontId="0" fillId="0" borderId="11" xfId="0" applyBorder="1"/>
    <xf numFmtId="164" fontId="0" fillId="0" borderId="12" xfId="0" applyNumberFormat="1" applyBorder="1"/>
    <xf numFmtId="0" fontId="6" fillId="0" borderId="8" xfId="0" applyFont="1" applyBorder="1"/>
    <xf numFmtId="0" fontId="8" fillId="0" borderId="9" xfId="0" applyFont="1" applyBorder="1"/>
    <xf numFmtId="164" fontId="8" fillId="0" borderId="9" xfId="0" applyNumberFormat="1" applyFont="1" applyBorder="1"/>
    <xf numFmtId="164" fontId="3" fillId="0" borderId="9" xfId="0" applyNumberFormat="1" applyFont="1" applyBorder="1"/>
    <xf numFmtId="0" fontId="0" fillId="0" borderId="10" xfId="0" applyBorder="1"/>
    <xf numFmtId="0" fontId="0" fillId="0" borderId="12" xfId="0" applyBorder="1"/>
    <xf numFmtId="0" fontId="0" fillId="0" borderId="0" xfId="0" applyFill="1" applyBorder="1"/>
    <xf numFmtId="44" fontId="0" fillId="0" borderId="0" xfId="0" applyNumberFormat="1" applyFill="1" applyBorder="1"/>
    <xf numFmtId="0" fontId="9" fillId="0" borderId="0" xfId="0" applyFont="1" applyFill="1" applyBorder="1"/>
    <xf numFmtId="44" fontId="0" fillId="0" borderId="0" xfId="1" applyFont="1" applyFill="1" applyBorder="1"/>
    <xf numFmtId="0" fontId="0" fillId="0" borderId="0" xfId="0" quotePrefix="1" applyFill="1" applyBorder="1"/>
    <xf numFmtId="9" fontId="0" fillId="0" borderId="0" xfId="2" applyFont="1" applyFill="1" applyBorder="1"/>
    <xf numFmtId="0" fontId="12" fillId="0" borderId="0" xfId="0" applyFont="1" applyFill="1" applyBorder="1"/>
    <xf numFmtId="44" fontId="0" fillId="0" borderId="0" xfId="0" applyNumberFormat="1" applyFill="1"/>
    <xf numFmtId="44" fontId="8" fillId="0" borderId="12" xfId="0" applyNumberFormat="1" applyFont="1" applyBorder="1"/>
    <xf numFmtId="44" fontId="8" fillId="0" borderId="9" xfId="0" applyNumberFormat="1" applyFont="1" applyBorder="1"/>
    <xf numFmtId="0" fontId="0" fillId="0" borderId="2" xfId="0" applyFill="1" applyBorder="1"/>
    <xf numFmtId="164" fontId="0" fillId="0" borderId="15" xfId="0" applyNumberFormat="1" applyFill="1" applyBorder="1"/>
    <xf numFmtId="0" fontId="15" fillId="0" borderId="2" xfId="0" applyFont="1" applyFill="1" applyBorder="1"/>
    <xf numFmtId="164" fontId="0" fillId="0" borderId="0" xfId="0" applyNumberForma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/>
    <xf numFmtId="0" fontId="11" fillId="0" borderId="2" xfId="0" applyFont="1" applyFill="1" applyBorder="1"/>
    <xf numFmtId="0" fontId="13" fillId="0" borderId="2" xfId="0" applyFont="1" applyFill="1" applyBorder="1"/>
    <xf numFmtId="0" fontId="0" fillId="0" borderId="2" xfId="0" applyFont="1" applyFill="1" applyBorder="1"/>
    <xf numFmtId="0" fontId="0" fillId="0" borderId="15" xfId="0" applyFill="1" applyBorder="1"/>
    <xf numFmtId="164" fontId="0" fillId="0" borderId="15" xfId="0" applyNumberFormat="1" applyFill="1" applyBorder="1" applyAlignment="1">
      <alignment horizontal="right"/>
    </xf>
    <xf numFmtId="0" fontId="9" fillId="0" borderId="2" xfId="0" applyFont="1" applyFill="1" applyBorder="1"/>
    <xf numFmtId="164" fontId="13" fillId="0" borderId="15" xfId="0" applyNumberFormat="1" applyFont="1" applyFill="1" applyBorder="1"/>
    <xf numFmtId="0" fontId="13" fillId="0" borderId="16" xfId="0" applyFont="1" applyFill="1" applyBorder="1"/>
    <xf numFmtId="164" fontId="13" fillId="0" borderId="17" xfId="0" applyNumberFormat="1" applyFont="1" applyFill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6" fillId="0" borderId="2" xfId="0" applyFont="1" applyFill="1" applyBorder="1"/>
    <xf numFmtId="0" fontId="0" fillId="0" borderId="16" xfId="0" applyFill="1" applyBorder="1"/>
    <xf numFmtId="164" fontId="0" fillId="0" borderId="17" xfId="0" applyNumberFormat="1" applyFill="1" applyBorder="1"/>
    <xf numFmtId="164" fontId="0" fillId="0" borderId="0" xfId="0" applyNumberFormat="1" applyFill="1" applyBorder="1"/>
    <xf numFmtId="0" fontId="0" fillId="0" borderId="13" xfId="0" applyFill="1" applyBorder="1"/>
    <xf numFmtId="164" fontId="0" fillId="0" borderId="14" xfId="0" applyNumberFormat="1" applyFill="1" applyBorder="1"/>
    <xf numFmtId="0" fontId="9" fillId="0" borderId="8" xfId="0" applyFont="1" applyBorder="1"/>
    <xf numFmtId="0" fontId="0" fillId="0" borderId="0" xfId="0" applyFill="1"/>
    <xf numFmtId="0" fontId="0" fillId="0" borderId="0" xfId="0"/>
    <xf numFmtId="0" fontId="8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/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left" vertical="center"/>
    </xf>
    <xf numFmtId="164" fontId="18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9" fillId="0" borderId="0" xfId="0" applyFont="1"/>
    <xf numFmtId="14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/>
    <xf numFmtId="164" fontId="22" fillId="0" borderId="0" xfId="0" applyNumberFormat="1" applyFont="1" applyFill="1" applyAlignment="1">
      <alignment horizontal="center"/>
    </xf>
    <xf numFmtId="44" fontId="19" fillId="0" borderId="0" xfId="0" applyNumberFormat="1" applyFont="1"/>
    <xf numFmtId="1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164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/>
    <xf numFmtId="14" fontId="19" fillId="0" borderId="0" xfId="0" applyNumberFormat="1" applyFont="1" applyFill="1" applyAlignment="1">
      <alignment horizontal="center"/>
    </xf>
    <xf numFmtId="16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164" fontId="19" fillId="4" borderId="0" xfId="0" applyNumberFormat="1" applyFont="1" applyFill="1"/>
    <xf numFmtId="0" fontId="19" fillId="0" borderId="0" xfId="0" applyFont="1" applyFill="1" applyAlignment="1">
      <alignment horizontal="center"/>
    </xf>
    <xf numFmtId="44" fontId="19" fillId="0" borderId="0" xfId="0" applyNumberFormat="1" applyFont="1" applyAlignment="1">
      <alignment horizontal="center"/>
    </xf>
    <xf numFmtId="169" fontId="24" fillId="0" borderId="0" xfId="0" applyNumberFormat="1" applyFont="1"/>
    <xf numFmtId="0" fontId="24" fillId="0" borderId="0" xfId="0" applyFont="1"/>
    <xf numFmtId="44" fontId="24" fillId="0" borderId="0" xfId="0" applyNumberFormat="1" applyFont="1"/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/>
    <xf numFmtId="1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/>
    <xf numFmtId="168" fontId="26" fillId="0" borderId="0" xfId="0" applyNumberFormat="1" applyFont="1" applyAlignment="1">
      <alignment horizontal="left"/>
    </xf>
    <xf numFmtId="0" fontId="27" fillId="0" borderId="0" xfId="0" applyFont="1" applyAlignment="1"/>
    <xf numFmtId="0" fontId="27" fillId="0" borderId="0" xfId="0" applyFont="1"/>
    <xf numFmtId="44" fontId="27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right"/>
    </xf>
    <xf numFmtId="44" fontId="28" fillId="0" borderId="0" xfId="0" applyNumberFormat="1" applyFont="1"/>
    <xf numFmtId="168" fontId="29" fillId="0" borderId="0" xfId="0" applyNumberFormat="1" applyFont="1" applyAlignment="1">
      <alignment horizontal="left"/>
    </xf>
    <xf numFmtId="0" fontId="29" fillId="0" borderId="0" xfId="0" applyFont="1" applyAlignment="1"/>
    <xf numFmtId="0" fontId="29" fillId="0" borderId="0" xfId="0" applyFont="1"/>
    <xf numFmtId="44" fontId="29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44" fontId="29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left"/>
    </xf>
    <xf numFmtId="16" fontId="30" fillId="0" borderId="0" xfId="0" applyNumberFormat="1" applyFont="1" applyAlignment="1"/>
    <xf numFmtId="0" fontId="30" fillId="0" borderId="0" xfId="0" applyFont="1" applyAlignment="1">
      <alignment horizontal="left"/>
    </xf>
    <xf numFmtId="0" fontId="30" fillId="0" borderId="0" xfId="0" applyFont="1" applyAlignment="1"/>
    <xf numFmtId="44" fontId="24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44" fontId="30" fillId="0" borderId="0" xfId="0" applyNumberFormat="1" applyFont="1" applyAlignment="1">
      <alignment horizontal="right"/>
    </xf>
    <xf numFmtId="0" fontId="27" fillId="0" borderId="0" xfId="0" applyFont="1" applyBorder="1"/>
    <xf numFmtId="44" fontId="27" fillId="0" borderId="0" xfId="0" applyNumberFormat="1" applyFont="1" applyBorder="1"/>
    <xf numFmtId="166" fontId="27" fillId="0" borderId="0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left"/>
    </xf>
    <xf numFmtId="0" fontId="27" fillId="0" borderId="0" xfId="0" applyFont="1" applyBorder="1" applyAlignment="1"/>
    <xf numFmtId="167" fontId="24" fillId="0" borderId="1" xfId="0" applyNumberFormat="1" applyFont="1" applyBorder="1" applyAlignment="1">
      <alignment horizontal="left"/>
    </xf>
    <xf numFmtId="44" fontId="24" fillId="0" borderId="1" xfId="0" applyNumberFormat="1" applyFont="1" applyBorder="1" applyAlignment="1">
      <alignment horizontal="left"/>
    </xf>
    <xf numFmtId="44" fontId="24" fillId="0" borderId="0" xfId="0" applyNumberFormat="1" applyFont="1" applyAlignment="1">
      <alignment horizontal="left"/>
    </xf>
    <xf numFmtId="44" fontId="30" fillId="0" borderId="1" xfId="0" applyNumberFormat="1" applyFont="1" applyBorder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/>
    <xf numFmtId="44" fontId="24" fillId="0" borderId="0" xfId="0" applyNumberFormat="1" applyFont="1" applyFill="1" applyAlignment="1">
      <alignment horizontal="right"/>
    </xf>
    <xf numFmtId="0" fontId="30" fillId="0" borderId="0" xfId="0" applyFont="1" applyBorder="1" applyAlignment="1"/>
    <xf numFmtId="168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167" fontId="24" fillId="0" borderId="0" xfId="0" applyNumberFormat="1" applyFont="1" applyFill="1" applyAlignment="1">
      <alignment horizontal="left"/>
    </xf>
    <xf numFmtId="167" fontId="30" fillId="0" borderId="0" xfId="0" applyNumberFormat="1" applyFont="1" applyAlignment="1">
      <alignment horizontal="left"/>
    </xf>
    <xf numFmtId="16" fontId="30" fillId="0" borderId="0" xfId="0" applyNumberFormat="1" applyFont="1" applyAlignment="1">
      <alignment horizontal="left"/>
    </xf>
    <xf numFmtId="168" fontId="30" fillId="0" borderId="0" xfId="0" applyNumberFormat="1" applyFont="1" applyBorder="1" applyAlignment="1">
      <alignment horizontal="left"/>
    </xf>
    <xf numFmtId="0" fontId="30" fillId="0" borderId="0" xfId="0" applyFont="1" applyBorder="1"/>
    <xf numFmtId="44" fontId="30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4" fontId="27" fillId="0" borderId="0" xfId="0" applyNumberFormat="1" applyFont="1" applyBorder="1" applyAlignment="1">
      <alignment horizontal="center"/>
    </xf>
    <xf numFmtId="44" fontId="28" fillId="0" borderId="0" xfId="0" applyNumberFormat="1" applyFont="1" applyBorder="1"/>
    <xf numFmtId="16" fontId="27" fillId="0" borderId="0" xfId="0" applyNumberFormat="1" applyFont="1" applyBorder="1"/>
    <xf numFmtId="0" fontId="27" fillId="0" borderId="0" xfId="0" applyFont="1" applyAlignment="1">
      <alignment horizontal="center"/>
    </xf>
    <xf numFmtId="16" fontId="27" fillId="0" borderId="0" xfId="0" applyNumberFormat="1" applyFont="1" applyAlignment="1">
      <alignment horizontal="center"/>
    </xf>
    <xf numFmtId="44" fontId="27" fillId="0" borderId="0" xfId="0" applyNumberFormat="1" applyFont="1"/>
    <xf numFmtId="44" fontId="30" fillId="0" borderId="0" xfId="0" applyNumberFormat="1" applyFont="1" applyAlignment="1">
      <alignment horizontal="center"/>
    </xf>
    <xf numFmtId="16" fontId="27" fillId="0" borderId="0" xfId="0" applyNumberFormat="1" applyFont="1"/>
    <xf numFmtId="0" fontId="28" fillId="0" borderId="0" xfId="0" applyFont="1"/>
    <xf numFmtId="44" fontId="31" fillId="0" borderId="0" xfId="0" applyNumberFormat="1" applyFont="1" applyBorder="1"/>
    <xf numFmtId="168" fontId="27" fillId="0" borderId="0" xfId="0" applyNumberFormat="1" applyFont="1" applyBorder="1" applyAlignment="1">
      <alignment horizontal="left"/>
    </xf>
    <xf numFmtId="166" fontId="27" fillId="3" borderId="0" xfId="0" applyNumberFormat="1" applyFont="1" applyFill="1" applyBorder="1" applyAlignment="1">
      <alignment horizontal="right"/>
    </xf>
    <xf numFmtId="44" fontId="27" fillId="0" borderId="0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Border="1"/>
    <xf numFmtId="16" fontId="27" fillId="0" borderId="0" xfId="0" applyNumberFormat="1" applyFont="1" applyBorder="1" applyAlignment="1"/>
    <xf numFmtId="44" fontId="28" fillId="0" borderId="0" xfId="0" applyNumberFormat="1" applyFont="1" applyBorder="1" applyAlignment="1">
      <alignment horizontal="left"/>
    </xf>
    <xf numFmtId="168" fontId="27" fillId="0" borderId="0" xfId="0" applyNumberFormat="1" applyFont="1" applyAlignment="1">
      <alignment horizontal="left"/>
    </xf>
    <xf numFmtId="0" fontId="33" fillId="0" borderId="0" xfId="0" applyFont="1"/>
    <xf numFmtId="44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44" fontId="26" fillId="0" borderId="0" xfId="0" applyNumberFormat="1" applyFont="1" applyAlignment="1">
      <alignment horizontal="center" vertical="center"/>
    </xf>
    <xf numFmtId="44" fontId="32" fillId="0" borderId="0" xfId="0" applyNumberFormat="1" applyFont="1"/>
    <xf numFmtId="168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4" fontId="29" fillId="0" borderId="0" xfId="0" applyNumberFormat="1" applyFont="1" applyAlignment="1">
      <alignment horizontal="center" vertical="center"/>
    </xf>
    <xf numFmtId="0" fontId="30" fillId="0" borderId="0" xfId="0" applyFont="1"/>
    <xf numFmtId="168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4" fontId="24" fillId="0" borderId="0" xfId="0" applyNumberFormat="1" applyFont="1" applyFill="1"/>
    <xf numFmtId="44" fontId="30" fillId="0" borderId="0" xfId="0" applyNumberFormat="1" applyFont="1"/>
    <xf numFmtId="0" fontId="30" fillId="0" borderId="0" xfId="0" applyFont="1" applyAlignment="1">
      <alignment horizontal="center"/>
    </xf>
    <xf numFmtId="168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4" fontId="32" fillId="0" borderId="0" xfId="0" applyNumberFormat="1" applyFont="1" applyAlignment="1">
      <alignment horizontal="right"/>
    </xf>
    <xf numFmtId="44" fontId="32" fillId="0" borderId="0" xfId="0" applyNumberFormat="1" applyFont="1" applyFill="1"/>
    <xf numFmtId="0" fontId="24" fillId="0" borderId="0" xfId="0" applyFont="1" applyAlignment="1">
      <alignment wrapText="1"/>
    </xf>
    <xf numFmtId="0" fontId="34" fillId="0" borderId="0" xfId="0" applyFont="1"/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4" xfId="0" applyFont="1" applyBorder="1"/>
    <xf numFmtId="0" fontId="37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44" fontId="24" fillId="0" borderId="0" xfId="0" applyNumberFormat="1" applyFont="1" applyAlignment="1">
      <alignment horizontal="center"/>
    </xf>
    <xf numFmtId="44" fontId="31" fillId="0" borderId="0" xfId="0" applyNumberFormat="1" applyFont="1" applyAlignment="1">
      <alignment horizontal="center"/>
    </xf>
    <xf numFmtId="44" fontId="24" fillId="0" borderId="0" xfId="0" applyNumberFormat="1" applyFont="1" applyFill="1" applyAlignment="1">
      <alignment horizontal="center"/>
    </xf>
    <xf numFmtId="44" fontId="30" fillId="0" borderId="0" xfId="0" applyNumberFormat="1" applyFont="1" applyFill="1" applyAlignment="1">
      <alignment horizontal="center"/>
    </xf>
    <xf numFmtId="44" fontId="31" fillId="0" borderId="0" xfId="0" applyNumberFormat="1" applyFont="1" applyFill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44" fontId="31" fillId="0" borderId="0" xfId="0" applyNumberFormat="1" applyFont="1" applyBorder="1" applyAlignment="1">
      <alignment horizontal="center"/>
    </xf>
    <xf numFmtId="44" fontId="39" fillId="0" borderId="0" xfId="0" applyNumberFormat="1" applyFont="1" applyAlignment="1">
      <alignment horizontal="center"/>
    </xf>
    <xf numFmtId="0" fontId="32" fillId="0" borderId="0" xfId="0" applyFont="1" applyFill="1" applyAlignment="1">
      <alignment horizontal="right"/>
    </xf>
    <xf numFmtId="44" fontId="40" fillId="0" borderId="0" xfId="0" applyNumberFormat="1" applyFont="1" applyFill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right"/>
    </xf>
    <xf numFmtId="44" fontId="41" fillId="0" borderId="0" xfId="0" applyNumberFormat="1" applyFont="1" applyAlignment="1">
      <alignment horizontal="center"/>
    </xf>
    <xf numFmtId="0" fontId="43" fillId="0" borderId="4" xfId="0" applyFont="1" applyBorder="1" applyAlignment="1"/>
    <xf numFmtId="0" fontId="24" fillId="0" borderId="4" xfId="0" applyFont="1" applyBorder="1" applyAlignment="1"/>
    <xf numFmtId="0" fontId="24" fillId="2" borderId="1" xfId="0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16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24" fillId="0" borderId="1" xfId="0" applyNumberFormat="1" applyFont="1" applyBorder="1" applyAlignment="1">
      <alignment horizontal="right"/>
    </xf>
    <xf numFmtId="16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3" fillId="0" borderId="0" xfId="0" applyFont="1" applyAlignment="1"/>
    <xf numFmtId="164" fontId="24" fillId="0" borderId="1" xfId="0" applyNumberFormat="1" applyFont="1" applyBorder="1" applyAlignment="1">
      <alignment horizontal="center"/>
    </xf>
    <xf numFmtId="16" fontId="30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44" fontId="24" fillId="0" borderId="1" xfId="0" applyNumberFormat="1" applyFont="1" applyBorder="1"/>
    <xf numFmtId="0" fontId="24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16" fontId="30" fillId="0" borderId="0" xfId="0" applyNumberFormat="1" applyFont="1" applyFill="1" applyBorder="1" applyAlignment="1">
      <alignment horizontal="center"/>
    </xf>
    <xf numFmtId="44" fontId="24" fillId="0" borderId="0" xfId="0" applyNumberFormat="1" applyFont="1" applyBorder="1"/>
    <xf numFmtId="167" fontId="24" fillId="0" borderId="0" xfId="0" applyNumberFormat="1" applyFont="1" applyBorder="1"/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/>
    <xf numFmtId="16" fontId="30" fillId="0" borderId="0" xfId="0" applyNumberFormat="1" applyFont="1" applyAlignment="1">
      <alignment horizontal="center"/>
    </xf>
    <xf numFmtId="16" fontId="24" fillId="0" borderId="0" xfId="0" applyNumberFormat="1" applyFont="1"/>
    <xf numFmtId="43" fontId="24" fillId="0" borderId="0" xfId="0" applyNumberFormat="1" applyFont="1"/>
    <xf numFmtId="16" fontId="30" fillId="0" borderId="0" xfId="0" applyNumberFormat="1" applyFont="1"/>
    <xf numFmtId="0" fontId="24" fillId="0" borderId="0" xfId="0" applyFont="1" applyAlignment="1">
      <alignment horizontal="right"/>
    </xf>
    <xf numFmtId="0" fontId="44" fillId="0" borderId="0" xfId="0" applyFont="1" applyBorder="1" applyAlignment="1"/>
    <xf numFmtId="0" fontId="36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41" fillId="0" borderId="1" xfId="0" applyFont="1" applyFill="1" applyBorder="1"/>
    <xf numFmtId="0" fontId="45" fillId="0" borderId="1" xfId="0" applyFont="1" applyFill="1" applyBorder="1"/>
    <xf numFmtId="0" fontId="45" fillId="0" borderId="0" xfId="0" applyFont="1" applyFill="1" applyBorder="1" applyAlignment="1">
      <alignment horizontal="left"/>
    </xf>
    <xf numFmtId="0" fontId="41" fillId="0" borderId="0" xfId="0" applyFont="1" applyFill="1" applyBorder="1"/>
    <xf numFmtId="16" fontId="45" fillId="0" borderId="0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1" fillId="0" borderId="0" xfId="0" applyFont="1" applyBorder="1"/>
    <xf numFmtId="0" fontId="45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5" fillId="0" borderId="0" xfId="0" applyFont="1" applyFill="1" applyBorder="1"/>
    <xf numFmtId="0" fontId="41" fillId="0" borderId="0" xfId="0" applyFont="1" applyBorder="1" applyAlignment="1">
      <alignment vertical="center"/>
    </xf>
    <xf numFmtId="0" fontId="45" fillId="0" borderId="0" xfId="0" applyFont="1" applyBorder="1"/>
    <xf numFmtId="0" fontId="36" fillId="0" borderId="23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/>
    </xf>
    <xf numFmtId="167" fontId="24" fillId="0" borderId="0" xfId="0" applyNumberFormat="1" applyFont="1"/>
    <xf numFmtId="0" fontId="32" fillId="0" borderId="13" xfId="0" applyFont="1" applyBorder="1"/>
    <xf numFmtId="0" fontId="24" fillId="0" borderId="21" xfId="0" applyFont="1" applyBorder="1"/>
    <xf numFmtId="0" fontId="24" fillId="0" borderId="2" xfId="0" applyFont="1" applyBorder="1"/>
    <xf numFmtId="0" fontId="24" fillId="0" borderId="16" xfId="0" applyFont="1" applyBorder="1"/>
    <xf numFmtId="167" fontId="24" fillId="0" borderId="22" xfId="0" applyNumberFormat="1" applyFont="1" applyBorder="1"/>
    <xf numFmtId="0" fontId="24" fillId="0" borderId="22" xfId="0" applyFont="1" applyBorder="1"/>
    <xf numFmtId="167" fontId="24" fillId="0" borderId="21" xfId="0" applyNumberFormat="1" applyFont="1" applyBorder="1"/>
    <xf numFmtId="0" fontId="24" fillId="0" borderId="0" xfId="0" applyFont="1" applyBorder="1" applyAlignment="1">
      <alignment horizontal="left"/>
    </xf>
    <xf numFmtId="44" fontId="24" fillId="0" borderId="0" xfId="0" applyNumberFormat="1" applyFont="1" applyFill="1" applyBorder="1"/>
    <xf numFmtId="16" fontId="24" fillId="0" borderId="0" xfId="0" applyNumberFormat="1" applyFont="1" applyBorder="1"/>
    <xf numFmtId="164" fontId="0" fillId="4" borderId="15" xfId="0" applyNumberFormat="1" applyFill="1" applyBorder="1"/>
    <xf numFmtId="167" fontId="45" fillId="0" borderId="0" xfId="0" applyNumberFormat="1" applyFont="1" applyFill="1" applyBorder="1" applyAlignment="1">
      <alignment horizontal="center"/>
    </xf>
    <xf numFmtId="167" fontId="36" fillId="0" borderId="1" xfId="0" applyNumberFormat="1" applyFont="1" applyBorder="1" applyAlignment="1">
      <alignment horizontal="center" vertical="center"/>
    </xf>
    <xf numFmtId="167" fontId="36" fillId="0" borderId="0" xfId="0" applyNumberFormat="1" applyFont="1" applyBorder="1" applyAlignment="1">
      <alignment horizontal="center" vertical="center"/>
    </xf>
    <xf numFmtId="167" fontId="47" fillId="0" borderId="0" xfId="0" applyNumberFormat="1" applyFont="1" applyFill="1" applyBorder="1" applyAlignment="1">
      <alignment horizontal="left"/>
    </xf>
    <xf numFmtId="167" fontId="45" fillId="0" borderId="0" xfId="0" applyNumberFormat="1" applyFont="1" applyFill="1" applyBorder="1"/>
    <xf numFmtId="167" fontId="45" fillId="0" borderId="0" xfId="0" applyNumberFormat="1" applyFont="1" applyBorder="1"/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/>
    <xf numFmtId="0" fontId="51" fillId="0" borderId="0" xfId="3" applyFont="1" applyFill="1" applyBorder="1" applyAlignment="1" applyProtection="1">
      <alignment horizontal="center"/>
    </xf>
    <xf numFmtId="0" fontId="49" fillId="0" borderId="0" xfId="0" applyFont="1" applyFill="1" applyBorder="1"/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44" fontId="32" fillId="0" borderId="0" xfId="0" applyNumberFormat="1" applyFont="1" applyAlignment="1">
      <alignment horizontal="center"/>
    </xf>
    <xf numFmtId="0" fontId="32" fillId="0" borderId="22" xfId="0" applyFont="1" applyBorder="1" applyAlignment="1">
      <alignment horizontal="right"/>
    </xf>
    <xf numFmtId="44" fontId="24" fillId="0" borderId="21" xfId="0" applyNumberFormat="1" applyFont="1" applyBorder="1"/>
    <xf numFmtId="44" fontId="32" fillId="0" borderId="22" xfId="0" applyNumberFormat="1" applyFont="1" applyBorder="1"/>
    <xf numFmtId="0" fontId="24" fillId="0" borderId="1" xfId="0" applyFont="1" applyBorder="1"/>
    <xf numFmtId="167" fontId="45" fillId="0" borderId="1" xfId="0" applyNumberFormat="1" applyFont="1" applyFill="1" applyBorder="1"/>
    <xf numFmtId="7" fontId="4" fillId="0" borderId="7" xfId="0" applyNumberFormat="1" applyFont="1" applyFill="1" applyBorder="1" applyAlignment="1">
      <alignment horizontal="center"/>
    </xf>
    <xf numFmtId="44" fontId="4" fillId="0" borderId="9" xfId="0" applyNumberFormat="1" applyFont="1" applyFill="1" applyBorder="1" applyAlignment="1">
      <alignment horizontal="center"/>
    </xf>
    <xf numFmtId="44" fontId="8" fillId="0" borderId="9" xfId="0" applyNumberFormat="1" applyFont="1" applyFill="1" applyBorder="1"/>
    <xf numFmtId="7" fontId="8" fillId="0" borderId="9" xfId="0" applyNumberFormat="1" applyFont="1" applyFill="1" applyBorder="1"/>
    <xf numFmtId="168" fontId="41" fillId="0" borderId="1" xfId="0" applyNumberFormat="1" applyFont="1" applyFill="1" applyBorder="1"/>
    <xf numFmtId="14" fontId="41" fillId="0" borderId="1" xfId="0" applyNumberFormat="1" applyFont="1" applyFill="1" applyBorder="1"/>
    <xf numFmtId="8" fontId="24" fillId="0" borderId="1" xfId="0" applyNumberFormat="1" applyFont="1" applyBorder="1" applyAlignment="1">
      <alignment horizontal="right"/>
    </xf>
    <xf numFmtId="167" fontId="47" fillId="0" borderId="24" xfId="0" applyNumberFormat="1" applyFont="1" applyBorder="1" applyAlignment="1">
      <alignment horizontal="left"/>
    </xf>
    <xf numFmtId="0" fontId="47" fillId="0" borderId="25" xfId="0" applyFont="1" applyBorder="1" applyAlignment="1">
      <alignment horizontal="center"/>
    </xf>
    <xf numFmtId="0" fontId="41" fillId="0" borderId="25" xfId="0" applyFont="1" applyBorder="1"/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54" fillId="0" borderId="1" xfId="3" applyFont="1" applyFill="1" applyBorder="1" applyAlignment="1" applyProtection="1">
      <alignment horizontal="center"/>
    </xf>
    <xf numFmtId="167" fontId="47" fillId="0" borderId="0" xfId="0" applyNumberFormat="1" applyFont="1" applyBorder="1" applyAlignment="1">
      <alignment horizontal="left"/>
    </xf>
    <xf numFmtId="167" fontId="41" fillId="0" borderId="0" xfId="0" applyNumberFormat="1" applyFont="1"/>
    <xf numFmtId="167" fontId="41" fillId="0" borderId="0" xfId="0" applyNumberFormat="1" applyFont="1" applyBorder="1"/>
    <xf numFmtId="0" fontId="41" fillId="0" borderId="3" xfId="0" applyFont="1" applyBorder="1"/>
    <xf numFmtId="0" fontId="41" fillId="0" borderId="3" xfId="0" applyFont="1" applyBorder="1" applyAlignment="1">
      <alignment horizontal="center"/>
    </xf>
    <xf numFmtId="0" fontId="41" fillId="0" borderId="3" xfId="0" applyFont="1" applyFill="1" applyBorder="1" applyAlignment="1">
      <alignment horizontal="right"/>
    </xf>
    <xf numFmtId="44" fontId="27" fillId="0" borderId="0" xfId="0" applyNumberFormat="1" applyFont="1" applyAlignment="1">
      <alignment horizontal="right"/>
    </xf>
    <xf numFmtId="44" fontId="24" fillId="0" borderId="0" xfId="1" applyNumberFormat="1" applyFont="1"/>
    <xf numFmtId="44" fontId="30" fillId="0" borderId="0" xfId="0" applyNumberFormat="1" applyFont="1" applyBorder="1" applyAlignment="1">
      <alignment horizontal="right"/>
    </xf>
    <xf numFmtId="44" fontId="27" fillId="0" borderId="0" xfId="0" applyNumberFormat="1" applyFont="1" applyBorder="1" applyAlignment="1">
      <alignment horizontal="right"/>
    </xf>
    <xf numFmtId="44" fontId="24" fillId="4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left"/>
    </xf>
    <xf numFmtId="16" fontId="24" fillId="0" borderId="0" xfId="0" applyNumberFormat="1" applyFont="1" applyFill="1"/>
    <xf numFmtId="0" fontId="24" fillId="5" borderId="1" xfId="0" applyFont="1" applyFill="1" applyBorder="1"/>
    <xf numFmtId="44" fontId="24" fillId="5" borderId="1" xfId="0" applyNumberFormat="1" applyFont="1" applyFill="1" applyBorder="1"/>
    <xf numFmtId="0" fontId="24" fillId="4" borderId="1" xfId="0" applyFont="1" applyFill="1" applyBorder="1"/>
    <xf numFmtId="0" fontId="45" fillId="0" borderId="1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44" fontId="24" fillId="4" borderId="0" xfId="0" applyNumberFormat="1" applyFont="1" applyFill="1"/>
    <xf numFmtId="0" fontId="19" fillId="6" borderId="0" xfId="0" applyFont="1" applyFill="1"/>
    <xf numFmtId="168" fontId="24" fillId="7" borderId="0" xfId="0" applyNumberFormat="1" applyFont="1" applyFill="1" applyAlignment="1">
      <alignment horizontal="center"/>
    </xf>
    <xf numFmtId="0" fontId="24" fillId="7" borderId="0" xfId="0" applyFont="1" applyFill="1" applyAlignment="1">
      <alignment horizontal="center"/>
    </xf>
    <xf numFmtId="0" fontId="24" fillId="7" borderId="0" xfId="0" applyFont="1" applyFill="1"/>
    <xf numFmtId="44" fontId="24" fillId="7" borderId="0" xfId="0" applyNumberFormat="1" applyFont="1" applyFill="1"/>
    <xf numFmtId="0" fontId="30" fillId="7" borderId="0" xfId="0" applyFont="1" applyFill="1"/>
    <xf numFmtId="44" fontId="30" fillId="7" borderId="0" xfId="0" applyNumberFormat="1" applyFont="1" applyFill="1"/>
    <xf numFmtId="168" fontId="30" fillId="7" borderId="0" xfId="0" applyNumberFormat="1" applyFont="1" applyFill="1" applyAlignment="1">
      <alignment horizontal="center"/>
    </xf>
    <xf numFmtId="0" fontId="30" fillId="7" borderId="0" xfId="0" applyFont="1" applyFill="1" applyAlignment="1">
      <alignment horizontal="center"/>
    </xf>
    <xf numFmtId="167" fontId="32" fillId="0" borderId="0" xfId="0" applyNumberFormat="1" applyFont="1" applyBorder="1"/>
    <xf numFmtId="167" fontId="47" fillId="0" borderId="24" xfId="0" applyNumberFormat="1" applyFont="1" applyFill="1" applyBorder="1" applyAlignment="1">
      <alignment horizontal="left"/>
    </xf>
    <xf numFmtId="0" fontId="47" fillId="0" borderId="25" xfId="0" applyFont="1" applyFill="1" applyBorder="1" applyAlignment="1">
      <alignment horizontal="center"/>
    </xf>
    <xf numFmtId="0" fontId="41" fillId="0" borderId="25" xfId="0" applyFont="1" applyFill="1" applyBorder="1"/>
    <xf numFmtId="0" fontId="41" fillId="0" borderId="26" xfId="0" applyFont="1" applyFill="1" applyBorder="1" applyAlignment="1">
      <alignment horizontal="center"/>
    </xf>
    <xf numFmtId="167" fontId="36" fillId="0" borderId="23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/>
    </xf>
    <xf numFmtId="44" fontId="19" fillId="4" borderId="0" xfId="0" applyNumberFormat="1" applyFont="1" applyFill="1"/>
    <xf numFmtId="168" fontId="24" fillId="8" borderId="0" xfId="0" applyNumberFormat="1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24" fillId="8" borderId="0" xfId="0" applyFont="1" applyFill="1"/>
    <xf numFmtId="44" fontId="24" fillId="8" borderId="0" xfId="0" applyNumberFormat="1" applyFont="1" applyFill="1"/>
    <xf numFmtId="168" fontId="19" fillId="8" borderId="0" xfId="0" applyNumberFormat="1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9" fillId="8" borderId="0" xfId="0" applyFont="1" applyFill="1"/>
    <xf numFmtId="44" fontId="19" fillId="8" borderId="0" xfId="0" applyNumberFormat="1" applyFont="1" applyFill="1"/>
    <xf numFmtId="167" fontId="24" fillId="0" borderId="1" xfId="0" applyNumberFormat="1" applyFont="1" applyBorder="1"/>
    <xf numFmtId="164" fontId="0" fillId="0" borderId="0" xfId="0" applyNumberFormat="1"/>
    <xf numFmtId="14" fontId="41" fillId="9" borderId="1" xfId="0" applyNumberFormat="1" applyFont="1" applyFill="1" applyBorder="1"/>
    <xf numFmtId="0" fontId="41" fillId="9" borderId="1" xfId="0" applyFont="1" applyFill="1" applyBorder="1" applyAlignment="1">
      <alignment horizontal="center"/>
    </xf>
    <xf numFmtId="0" fontId="41" fillId="9" borderId="1" xfId="0" applyFont="1" applyFill="1" applyBorder="1"/>
    <xf numFmtId="168" fontId="41" fillId="9" borderId="1" xfId="0" applyNumberFormat="1" applyFont="1" applyFill="1" applyBorder="1"/>
    <xf numFmtId="0" fontId="24" fillId="9" borderId="0" xfId="0" applyFont="1" applyFill="1"/>
    <xf numFmtId="0" fontId="49" fillId="9" borderId="0" xfId="0" applyFont="1" applyFill="1" applyBorder="1" applyAlignment="1">
      <alignment horizontal="left"/>
    </xf>
    <xf numFmtId="0" fontId="50" fillId="9" borderId="0" xfId="0" applyFont="1" applyFill="1" applyBorder="1"/>
    <xf numFmtId="0" fontId="51" fillId="9" borderId="0" xfId="3" applyFont="1" applyFill="1" applyBorder="1" applyAlignment="1" applyProtection="1">
      <alignment horizontal="center"/>
    </xf>
    <xf numFmtId="0" fontId="24" fillId="9" borderId="0" xfId="0" applyFont="1" applyFill="1" applyAlignment="1">
      <alignment horizontal="center"/>
    </xf>
    <xf numFmtId="0" fontId="48" fillId="9" borderId="0" xfId="0" applyFont="1" applyFill="1" applyBorder="1"/>
    <xf numFmtId="0" fontId="41" fillId="9" borderId="0" xfId="0" applyFont="1" applyFill="1" applyBorder="1"/>
    <xf numFmtId="0" fontId="46" fillId="9" borderId="1" xfId="0" applyFont="1" applyFill="1" applyBorder="1"/>
    <xf numFmtId="0" fontId="55" fillId="9" borderId="1" xfId="3" applyFont="1" applyFill="1" applyBorder="1" applyAlignment="1" applyProtection="1"/>
    <xf numFmtId="0" fontId="46" fillId="0" borderId="1" xfId="0" applyFont="1" applyFill="1" applyBorder="1"/>
    <xf numFmtId="0" fontId="55" fillId="0" borderId="1" xfId="3" applyFont="1" applyFill="1" applyBorder="1" applyAlignment="1" applyProtection="1"/>
    <xf numFmtId="0" fontId="46" fillId="9" borderId="1" xfId="0" applyFont="1" applyFill="1" applyBorder="1" applyAlignment="1" applyProtection="1">
      <alignment horizontal="right"/>
      <protection locked="0"/>
    </xf>
    <xf numFmtId="0" fontId="38" fillId="0" borderId="4" xfId="0" applyFont="1" applyBorder="1"/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4" fontId="27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44" fontId="27" fillId="3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32" fillId="5" borderId="24" xfId="0" applyFont="1" applyFill="1" applyBorder="1" applyAlignment="1">
      <alignment horizontal="center"/>
    </xf>
    <xf numFmtId="0" fontId="32" fillId="5" borderId="26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14" fontId="30" fillId="0" borderId="1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3" fillId="0" borderId="0" xfId="0" applyFont="1" applyAlignment="1"/>
    <xf numFmtId="0" fontId="40" fillId="0" borderId="0" xfId="0" applyFont="1" applyAlignment="1">
      <alignment horizontal="left"/>
    </xf>
    <xf numFmtId="0" fontId="43" fillId="0" borderId="0" xfId="0" applyFont="1" applyBorder="1" applyAlignment="1"/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21">
    <cellStyle name="Currency" xfId="1" builtinId="4"/>
    <cellStyle name="Currency 2" xfId="4"/>
    <cellStyle name="Currency 3" xfId="6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3" builtinId="8"/>
    <cellStyle name="Normal" xfId="0" builtinId="0"/>
    <cellStyle name="Percent" xfId="2" builtinId="5"/>
    <cellStyle name="Percent 2" xfId="5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Membership</a:t>
            </a:r>
          </a:p>
        </c:rich>
      </c:tx>
      <c:layout>
        <c:manualLayout>
          <c:xMode val="edge"/>
          <c:yMode val="edge"/>
          <c:x val="0.262330972069362"/>
          <c:y val="0.0579429721822407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000358074082"/>
          <c:y val="0.388317454351432"/>
          <c:w val="0.536668413634192"/>
          <c:h val="0.347080202561891"/>
        </c:manualLayout>
      </c:layout>
      <c:pie3DChart>
        <c:varyColors val="1"/>
        <c:ser>
          <c:idx val="0"/>
          <c:order val="0"/>
          <c:explosion val="10"/>
          <c:dPt>
            <c:idx val="1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'Members 12-13'!$C$69:$C$73</c:f>
              <c:strCache>
                <c:ptCount val="5"/>
                <c:pt idx="0">
                  <c:v>Freshmen</c:v>
                </c:pt>
                <c:pt idx="1">
                  <c:v>Sophomores</c:v>
                </c:pt>
                <c:pt idx="2">
                  <c:v>Juniors</c:v>
                </c:pt>
                <c:pt idx="3">
                  <c:v>Seniors</c:v>
                </c:pt>
                <c:pt idx="4">
                  <c:v>Grad</c:v>
                </c:pt>
              </c:strCache>
            </c:strRef>
          </c:cat>
          <c:val>
            <c:numRef>
              <c:f>'Members 12-13'!$E$69:$E$73</c:f>
              <c:numCache>
                <c:formatCode>General</c:formatCode>
                <c:ptCount val="5"/>
                <c:pt idx="0">
                  <c:v>5.0</c:v>
                </c:pt>
                <c:pt idx="1">
                  <c:v>7.0</c:v>
                </c:pt>
                <c:pt idx="2">
                  <c:v>16.0</c:v>
                </c:pt>
                <c:pt idx="3">
                  <c:v>18.0</c:v>
                </c:pt>
                <c:pt idx="4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700003499562555"/>
          <c:y val="0.821308728161557"/>
          <c:w val="0.856669466316732"/>
          <c:h val="0.154639536037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5" l="0.700000000000001" r="0.700000000000001" t="0.750000000000015" header="0.3" footer="0.3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507999</xdr:colOff>
      <xdr:row>77</xdr:row>
      <xdr:rowOff>28576</xdr:rowOff>
    </xdr:from>
    <xdr:to>
      <xdr:col>9</xdr:col>
      <xdr:colOff>997857</xdr:colOff>
      <xdr:row>98</xdr:row>
      <xdr:rowOff>36286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mailto:k.kapadia@umiami.edu" TargetMode="External"/><Relationship Id="rId20" Type="http://schemas.openxmlformats.org/officeDocument/2006/relationships/hyperlink" Target="mailto:c.morrison5@umiami.edu" TargetMode="External"/><Relationship Id="rId21" Type="http://schemas.openxmlformats.org/officeDocument/2006/relationships/hyperlink" Target="mailto:b.aratoon@umiami.edu" TargetMode="External"/><Relationship Id="rId22" Type="http://schemas.openxmlformats.org/officeDocument/2006/relationships/hyperlink" Target="mailto:m.arguelles3@umiami.edu" TargetMode="External"/><Relationship Id="rId23" Type="http://schemas.openxmlformats.org/officeDocument/2006/relationships/hyperlink" Target="mailto:e.antmann@umiami.edu" TargetMode="External"/><Relationship Id="rId24" Type="http://schemas.openxmlformats.org/officeDocument/2006/relationships/hyperlink" Target="mailto:a.jones18@umiami.edu" TargetMode="External"/><Relationship Id="rId25" Type="http://schemas.openxmlformats.org/officeDocument/2006/relationships/hyperlink" Target="mailto:r.marino1@umiami.edu" TargetMode="External"/><Relationship Id="rId26" Type="http://schemas.openxmlformats.org/officeDocument/2006/relationships/hyperlink" Target="mailto:f.praca@umiami.edu" TargetMode="External"/><Relationship Id="rId27" Type="http://schemas.openxmlformats.org/officeDocument/2006/relationships/hyperlink" Target="mailto:j.doggart@umiami.edu" TargetMode="External"/><Relationship Id="rId28" Type="http://schemas.openxmlformats.org/officeDocument/2006/relationships/hyperlink" Target="mailto:michael9951@yahoo.com" TargetMode="External"/><Relationship Id="rId29" Type="http://schemas.openxmlformats.org/officeDocument/2006/relationships/hyperlink" Target="mailto:maggs.g@gmail.com" TargetMode="External"/><Relationship Id="rId30" Type="http://schemas.openxmlformats.org/officeDocument/2006/relationships/hyperlink" Target="mailto:h.castaneda@umiami.edu" TargetMode="External"/><Relationship Id="rId31" Type="http://schemas.openxmlformats.org/officeDocument/2006/relationships/drawing" Target="../drawings/drawing1.xml"/><Relationship Id="rId10" Type="http://schemas.openxmlformats.org/officeDocument/2006/relationships/hyperlink" Target="mailto:p.lavonas@umiami.du" TargetMode="External"/><Relationship Id="rId11" Type="http://schemas.openxmlformats.org/officeDocument/2006/relationships/hyperlink" Target="mailto:m.cerjan@umiami.edu" TargetMode="External"/><Relationship Id="rId12" Type="http://schemas.openxmlformats.org/officeDocument/2006/relationships/hyperlink" Target="mailto:z.seed@umiami.edu" TargetMode="External"/><Relationship Id="rId13" Type="http://schemas.openxmlformats.org/officeDocument/2006/relationships/hyperlink" Target="mailto:h.mckool@umiami.edu" TargetMode="External"/><Relationship Id="rId14" Type="http://schemas.openxmlformats.org/officeDocument/2006/relationships/hyperlink" Target="mailto:k.gater@umiami.edu" TargetMode="External"/><Relationship Id="rId15" Type="http://schemas.openxmlformats.org/officeDocument/2006/relationships/hyperlink" Target="mailto:j.marini1@med.miami.edu" TargetMode="External"/><Relationship Id="rId16" Type="http://schemas.openxmlformats.org/officeDocument/2006/relationships/hyperlink" Target="mailto:j.lopez45@umiami.edu" TargetMode="External"/><Relationship Id="rId17" Type="http://schemas.openxmlformats.org/officeDocument/2006/relationships/hyperlink" Target="mailto:s.claure@umiami.edu" TargetMode="External"/><Relationship Id="rId18" Type="http://schemas.openxmlformats.org/officeDocument/2006/relationships/hyperlink" Target="mailto:otaviocs@matrise.com.br" TargetMode="External"/><Relationship Id="rId19" Type="http://schemas.openxmlformats.org/officeDocument/2006/relationships/hyperlink" Target="mailto:l.mayes@umiami.edu" TargetMode="External"/><Relationship Id="rId1" Type="http://schemas.openxmlformats.org/officeDocument/2006/relationships/hyperlink" Target="mailto:s.ramaji@umiami.edu" TargetMode="External"/><Relationship Id="rId2" Type="http://schemas.openxmlformats.org/officeDocument/2006/relationships/hyperlink" Target="mailto:l.barreraallen@umiami.edu" TargetMode="External"/><Relationship Id="rId3" Type="http://schemas.openxmlformats.org/officeDocument/2006/relationships/hyperlink" Target="mailto:k.baer1@umiami.edu" TargetMode="External"/><Relationship Id="rId4" Type="http://schemas.openxmlformats.org/officeDocument/2006/relationships/hyperlink" Target="mailto:alex-briel@verizon.net" TargetMode="External"/><Relationship Id="rId5" Type="http://schemas.openxmlformats.org/officeDocument/2006/relationships/hyperlink" Target="mailto:k.macdonald@umiami.edu" TargetMode="External"/><Relationship Id="rId6" Type="http://schemas.openxmlformats.org/officeDocument/2006/relationships/hyperlink" Target="mailto:j.jordan8@umiami.edu" TargetMode="External"/><Relationship Id="rId7" Type="http://schemas.openxmlformats.org/officeDocument/2006/relationships/hyperlink" Target="mailto:jas921@me.com" TargetMode="External"/><Relationship Id="rId8" Type="http://schemas.openxmlformats.org/officeDocument/2006/relationships/hyperlink" Target="mailto:maddielery20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opLeftCell="A22" workbookViewId="0">
      <selection activeCell="B57" sqref="B57"/>
    </sheetView>
  </sheetViews>
  <sheetFormatPr baseColWidth="10" defaultColWidth="9.1640625" defaultRowHeight="14" x14ac:dyDescent="0"/>
  <cols>
    <col min="1" max="1" width="9.1640625" style="1" customWidth="1"/>
    <col min="2" max="2" width="55.1640625" style="1" customWidth="1"/>
    <col min="3" max="3" width="11.6640625" style="36" customWidth="1"/>
    <col min="4" max="4" width="13.5" style="1" customWidth="1"/>
    <col min="5" max="5" width="7.83203125" style="1" customWidth="1"/>
    <col min="6" max="6" width="18.5" style="1" customWidth="1"/>
    <col min="7" max="7" width="9.1640625" style="1"/>
    <col min="8" max="8" width="11.5" style="36" bestFit="1" customWidth="1"/>
    <col min="9" max="9" width="17.33203125" style="1" customWidth="1"/>
    <col min="10" max="10" width="9.33203125" style="1" customWidth="1"/>
    <col min="11" max="11" width="15.5" style="1" customWidth="1"/>
    <col min="12" max="12" width="11.5" style="1" customWidth="1"/>
    <col min="13" max="13" width="12.5" style="1" customWidth="1"/>
    <col min="14" max="16384" width="9.1640625" style="1"/>
  </cols>
  <sheetData>
    <row r="1" spans="1:15" ht="15" thickBot="1">
      <c r="C1" s="42"/>
      <c r="E1" s="29"/>
      <c r="F1" s="29"/>
      <c r="G1" s="29"/>
      <c r="H1" s="30"/>
      <c r="I1" s="29"/>
      <c r="J1" s="29"/>
      <c r="K1" s="29"/>
      <c r="L1" s="29"/>
      <c r="M1" s="29"/>
      <c r="N1" s="29"/>
      <c r="O1" s="29"/>
    </row>
    <row r="2" spans="1:15" ht="15">
      <c r="A2" s="43"/>
      <c r="B2" s="375" t="s">
        <v>344</v>
      </c>
      <c r="C2" s="376"/>
      <c r="D2" s="44"/>
      <c r="E2" s="29"/>
      <c r="F2" s="29"/>
      <c r="G2" s="29"/>
      <c r="H2" s="30"/>
      <c r="I2" s="29"/>
      <c r="J2" s="29"/>
      <c r="K2" s="29"/>
      <c r="L2" s="29"/>
      <c r="M2" s="29"/>
      <c r="N2" s="29"/>
      <c r="O2" s="29"/>
    </row>
    <row r="3" spans="1:15" ht="20.25" customHeight="1">
      <c r="B3" s="377"/>
      <c r="C3" s="378"/>
      <c r="D3" s="45"/>
      <c r="E3" s="29"/>
      <c r="F3" s="29"/>
      <c r="G3" s="29"/>
      <c r="H3" s="30"/>
      <c r="I3" s="29"/>
      <c r="J3" s="29"/>
      <c r="K3" s="29"/>
      <c r="L3" s="29"/>
      <c r="M3" s="29"/>
      <c r="N3" s="29"/>
      <c r="O3" s="29"/>
    </row>
    <row r="4" spans="1:15" ht="21.75" customHeight="1" thickBot="1">
      <c r="B4" s="379"/>
      <c r="C4" s="380"/>
      <c r="D4" s="45"/>
      <c r="E4" s="29"/>
      <c r="F4" s="29"/>
      <c r="G4" s="29"/>
      <c r="H4" s="30"/>
      <c r="I4" s="29"/>
      <c r="J4" s="29"/>
      <c r="K4" s="29"/>
      <c r="L4" s="29"/>
      <c r="M4" s="29"/>
      <c r="N4" s="29"/>
      <c r="O4" s="29"/>
    </row>
    <row r="5" spans="1:15">
      <c r="B5" s="39"/>
      <c r="C5" s="40"/>
      <c r="E5" s="29"/>
      <c r="F5" s="29"/>
      <c r="G5" s="29"/>
      <c r="H5" s="30"/>
      <c r="I5" s="29"/>
      <c r="J5" s="29"/>
      <c r="K5" s="29"/>
      <c r="L5" s="29"/>
      <c r="M5" s="29"/>
      <c r="N5" s="29"/>
      <c r="O5" s="29"/>
    </row>
    <row r="6" spans="1:15" ht="20">
      <c r="B6" s="381" t="s">
        <v>123</v>
      </c>
      <c r="C6" s="382"/>
      <c r="E6" s="29"/>
      <c r="F6" s="29"/>
      <c r="G6" s="29"/>
      <c r="H6" s="30"/>
      <c r="I6" s="29"/>
      <c r="J6" s="29"/>
      <c r="K6" s="29"/>
      <c r="L6" s="29"/>
      <c r="M6" s="29"/>
      <c r="N6" s="29"/>
      <c r="O6" s="29"/>
    </row>
    <row r="7" spans="1:15">
      <c r="B7" s="41"/>
      <c r="C7" s="40"/>
      <c r="E7" s="29"/>
      <c r="F7" s="29"/>
      <c r="G7" s="29"/>
      <c r="H7" s="30"/>
      <c r="I7" s="29"/>
      <c r="J7" s="29"/>
      <c r="K7" s="29"/>
      <c r="L7" s="29"/>
      <c r="M7" s="29"/>
      <c r="N7" s="29"/>
      <c r="O7" s="29"/>
    </row>
    <row r="8" spans="1:15" ht="18">
      <c r="B8" s="46" t="s">
        <v>116</v>
      </c>
      <c r="C8" s="40"/>
      <c r="E8" s="29"/>
      <c r="F8" s="29"/>
      <c r="G8" s="29"/>
      <c r="H8" s="30"/>
      <c r="I8" s="29"/>
      <c r="J8" s="29"/>
      <c r="K8" s="29"/>
      <c r="L8" s="29"/>
      <c r="M8" s="29"/>
      <c r="N8" s="29"/>
      <c r="O8" s="29"/>
    </row>
    <row r="9" spans="1:15" ht="15">
      <c r="B9" s="47"/>
      <c r="C9" s="40"/>
      <c r="E9" s="29"/>
      <c r="F9" s="29"/>
      <c r="G9" s="29"/>
      <c r="H9" s="30"/>
      <c r="I9" s="29"/>
      <c r="J9" s="29"/>
      <c r="K9" s="29"/>
      <c r="L9" s="29"/>
      <c r="M9" s="29"/>
      <c r="N9" s="29"/>
      <c r="O9" s="29"/>
    </row>
    <row r="10" spans="1:15">
      <c r="B10" s="41" t="s">
        <v>78</v>
      </c>
      <c r="C10" s="40"/>
      <c r="E10" s="29"/>
      <c r="F10" s="29"/>
      <c r="G10" s="29"/>
      <c r="H10" s="30"/>
      <c r="I10" s="29"/>
      <c r="J10" s="29"/>
      <c r="K10" s="29"/>
      <c r="L10" s="29"/>
      <c r="M10" s="29"/>
      <c r="N10" s="29"/>
      <c r="O10" s="29"/>
    </row>
    <row r="11" spans="1:15">
      <c r="B11" s="39" t="s">
        <v>124</v>
      </c>
      <c r="C11" s="40">
        <v>200</v>
      </c>
      <c r="E11" s="29"/>
      <c r="F11" s="29"/>
      <c r="G11" s="29"/>
      <c r="H11" s="30"/>
      <c r="I11" s="29"/>
      <c r="J11" s="29"/>
      <c r="K11" s="29"/>
      <c r="L11" s="29"/>
      <c r="M11" s="29"/>
      <c r="N11" s="29"/>
      <c r="O11" s="29"/>
    </row>
    <row r="12" spans="1:15">
      <c r="B12" s="39" t="s">
        <v>239</v>
      </c>
      <c r="C12" s="40">
        <f>40*55</f>
        <v>2200</v>
      </c>
      <c r="E12" s="29"/>
      <c r="F12" s="29"/>
      <c r="G12" s="29"/>
      <c r="H12" s="30"/>
      <c r="I12" s="29"/>
      <c r="J12" s="29"/>
      <c r="K12" s="29"/>
      <c r="L12" s="29"/>
      <c r="M12" s="29"/>
      <c r="N12" s="29"/>
      <c r="O12" s="29"/>
    </row>
    <row r="13" spans="1:15">
      <c r="B13" s="39" t="s">
        <v>213</v>
      </c>
      <c r="C13" s="40">
        <f>5*75</f>
        <v>375</v>
      </c>
      <c r="E13" s="29"/>
      <c r="F13" s="29"/>
      <c r="G13" s="29"/>
      <c r="H13" s="30"/>
      <c r="I13" s="29"/>
      <c r="J13" s="29"/>
      <c r="K13" s="29"/>
      <c r="L13" s="29"/>
      <c r="M13" s="29"/>
      <c r="N13" s="29"/>
      <c r="O13" s="29"/>
    </row>
    <row r="14" spans="1:15">
      <c r="B14" s="39"/>
      <c r="C14" s="40"/>
      <c r="E14" s="29"/>
      <c r="F14" s="29"/>
      <c r="G14" s="29"/>
      <c r="H14" s="30"/>
      <c r="I14" s="29"/>
      <c r="J14" s="29"/>
      <c r="K14" s="29"/>
      <c r="L14" s="29"/>
      <c r="M14" s="29"/>
      <c r="N14" s="29"/>
      <c r="O14" s="29"/>
    </row>
    <row r="15" spans="1:15">
      <c r="B15" s="41" t="s">
        <v>74</v>
      </c>
      <c r="C15" s="40"/>
      <c r="E15" s="29"/>
      <c r="F15" s="29"/>
      <c r="G15" s="29"/>
      <c r="H15" s="30"/>
      <c r="I15" s="29"/>
      <c r="J15" s="29"/>
      <c r="K15" s="29"/>
      <c r="L15" s="29"/>
      <c r="M15" s="29"/>
      <c r="N15" s="29"/>
      <c r="O15" s="29"/>
    </row>
    <row r="16" spans="1:15">
      <c r="B16" s="39" t="s">
        <v>420</v>
      </c>
      <c r="C16" s="40">
        <f>14*100*1.1525</f>
        <v>1613.5</v>
      </c>
      <c r="E16" s="29"/>
      <c r="F16" s="29"/>
      <c r="G16" s="29"/>
      <c r="H16" s="30"/>
      <c r="I16" s="29"/>
      <c r="J16" s="29"/>
      <c r="K16" s="29"/>
      <c r="L16" s="29"/>
      <c r="M16" s="29"/>
      <c r="N16" s="29"/>
      <c r="O16" s="29"/>
    </row>
    <row r="17" spans="2:15">
      <c r="B17" s="39"/>
      <c r="C17" s="40"/>
      <c r="E17" s="29"/>
      <c r="F17" s="29"/>
      <c r="G17" s="29"/>
      <c r="H17" s="30"/>
      <c r="I17" s="29"/>
      <c r="J17" s="29"/>
      <c r="K17" s="29"/>
      <c r="L17" s="29"/>
      <c r="M17" s="29"/>
      <c r="N17" s="29"/>
      <c r="O17" s="29"/>
    </row>
    <row r="18" spans="2:15">
      <c r="B18" s="39"/>
      <c r="C18" s="40"/>
      <c r="E18" s="29"/>
      <c r="F18" s="29"/>
      <c r="G18" s="29"/>
      <c r="H18" s="30"/>
      <c r="I18" s="29"/>
      <c r="J18" s="29"/>
      <c r="K18" s="29"/>
      <c r="L18" s="29"/>
      <c r="M18" s="29"/>
      <c r="N18" s="29"/>
      <c r="O18" s="29"/>
    </row>
    <row r="19" spans="2:15">
      <c r="B19" s="41" t="s">
        <v>77</v>
      </c>
      <c r="C19" s="40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29"/>
    </row>
    <row r="20" spans="2:15">
      <c r="B20" s="39" t="s">
        <v>125</v>
      </c>
      <c r="C20" s="40">
        <f>2*100/10*4</f>
        <v>80</v>
      </c>
      <c r="E20" s="29"/>
      <c r="F20" s="29"/>
      <c r="G20" s="29"/>
      <c r="H20" s="30"/>
      <c r="I20" s="29"/>
      <c r="J20" s="29"/>
      <c r="K20" s="29"/>
      <c r="L20" s="29"/>
      <c r="M20" s="29"/>
      <c r="N20" s="29"/>
      <c r="O20" s="29"/>
    </row>
    <row r="21" spans="2:15">
      <c r="B21" s="39" t="s">
        <v>240</v>
      </c>
      <c r="C21" s="40">
        <f>150*0.35</f>
        <v>52.5</v>
      </c>
      <c r="E21" s="29"/>
      <c r="F21" s="29"/>
      <c r="G21" s="29"/>
      <c r="H21" s="30"/>
      <c r="I21" s="29"/>
      <c r="J21" s="29"/>
      <c r="K21" s="29"/>
      <c r="L21" s="29"/>
      <c r="M21" s="29"/>
      <c r="N21" s="29"/>
      <c r="O21" s="29"/>
    </row>
    <row r="22" spans="2:15">
      <c r="B22" s="39"/>
      <c r="C22" s="40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</row>
    <row r="23" spans="2:15">
      <c r="B23" s="41"/>
      <c r="C23" s="40"/>
      <c r="E23" s="29"/>
      <c r="F23" s="29"/>
      <c r="G23" s="29"/>
      <c r="H23" s="30"/>
      <c r="I23" s="29"/>
      <c r="J23" s="29"/>
      <c r="K23" s="29"/>
      <c r="L23" s="29"/>
      <c r="M23" s="29"/>
      <c r="N23" s="29"/>
      <c r="O23" s="29"/>
    </row>
    <row r="24" spans="2:15">
      <c r="B24" s="39" t="s">
        <v>214</v>
      </c>
      <c r="C24" s="40">
        <v>3400</v>
      </c>
      <c r="E24" s="29"/>
      <c r="F24" s="29"/>
      <c r="G24" s="29"/>
      <c r="H24" s="30"/>
      <c r="I24" s="29"/>
      <c r="J24" s="29"/>
      <c r="K24" s="29"/>
      <c r="L24" s="29"/>
      <c r="M24" s="29"/>
      <c r="N24" s="29"/>
      <c r="O24" s="29"/>
    </row>
    <row r="25" spans="2:15">
      <c r="B25" s="39"/>
      <c r="C25" s="40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</row>
    <row r="26" spans="2:15" s="64" customFormat="1">
      <c r="B26" s="39"/>
      <c r="C26" s="40"/>
      <c r="E26" s="29"/>
      <c r="F26" s="29"/>
      <c r="G26" s="29"/>
      <c r="H26" s="30"/>
      <c r="I26" s="29"/>
      <c r="J26" s="29"/>
      <c r="K26" s="29"/>
      <c r="L26" s="29"/>
      <c r="M26" s="29"/>
      <c r="N26" s="29"/>
      <c r="O26" s="29"/>
    </row>
    <row r="27" spans="2:15" s="64" customFormat="1">
      <c r="B27" s="39"/>
      <c r="C27" s="40"/>
      <c r="E27" s="29"/>
      <c r="F27" s="29"/>
      <c r="G27" s="29"/>
      <c r="H27" s="30"/>
      <c r="I27" s="29"/>
      <c r="J27" s="29"/>
      <c r="K27" s="29"/>
      <c r="L27" s="29"/>
      <c r="M27" s="29"/>
      <c r="N27" s="29"/>
      <c r="O27" s="29"/>
    </row>
    <row r="28" spans="2:15">
      <c r="B28" s="39"/>
      <c r="C28" s="40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</row>
    <row r="29" spans="2:15">
      <c r="B29" s="41" t="s">
        <v>126</v>
      </c>
      <c r="C29" s="40"/>
      <c r="E29" s="29"/>
      <c r="F29" s="29"/>
      <c r="G29" s="29"/>
      <c r="H29" s="30"/>
      <c r="I29" s="29"/>
      <c r="J29" s="29"/>
      <c r="K29" s="29"/>
      <c r="L29" s="29"/>
      <c r="M29" s="29"/>
      <c r="N29" s="29"/>
      <c r="O29" s="29"/>
    </row>
    <row r="30" spans="2:15">
      <c r="B30" s="48" t="s">
        <v>104</v>
      </c>
      <c r="C30" s="40">
        <v>2000</v>
      </c>
      <c r="E30" s="29"/>
      <c r="F30" s="29"/>
      <c r="G30" s="29"/>
      <c r="H30" s="30"/>
      <c r="I30" s="29"/>
      <c r="J30" s="29"/>
      <c r="K30" s="29"/>
      <c r="L30" s="29"/>
      <c r="M30" s="29"/>
      <c r="N30" s="29"/>
      <c r="O30" s="29"/>
    </row>
    <row r="31" spans="2:15">
      <c r="B31" s="48" t="s">
        <v>73</v>
      </c>
      <c r="C31" s="40">
        <v>2000</v>
      </c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</row>
    <row r="32" spans="2:15">
      <c r="B32" s="48" t="s">
        <v>72</v>
      </c>
      <c r="C32" s="40">
        <v>300</v>
      </c>
      <c r="E32" s="29"/>
      <c r="F32" s="29"/>
      <c r="G32" s="29"/>
      <c r="H32" s="30"/>
      <c r="I32" s="29"/>
      <c r="J32" s="29"/>
      <c r="K32" s="29"/>
      <c r="L32" s="29"/>
      <c r="M32" s="29"/>
      <c r="N32" s="29"/>
      <c r="O32" s="29"/>
    </row>
    <row r="33" spans="1:15">
      <c r="B33" s="39" t="s">
        <v>183</v>
      </c>
      <c r="C33" s="40">
        <f>50*13</f>
        <v>650</v>
      </c>
      <c r="E33" s="31"/>
      <c r="F33" s="31"/>
      <c r="G33" s="31"/>
      <c r="H33" s="31"/>
      <c r="I33" s="31"/>
      <c r="J33" s="31"/>
      <c r="K33" s="31"/>
      <c r="L33" s="31"/>
      <c r="M33" s="31"/>
      <c r="N33" s="29"/>
      <c r="O33" s="29"/>
    </row>
    <row r="34" spans="1:15">
      <c r="B34" s="39" t="s">
        <v>53</v>
      </c>
      <c r="C34" s="40"/>
      <c r="E34" s="29"/>
      <c r="F34" s="32"/>
      <c r="G34" s="29"/>
      <c r="H34" s="29"/>
      <c r="I34" s="29"/>
      <c r="J34" s="29"/>
      <c r="K34" s="29"/>
      <c r="L34" s="32"/>
      <c r="M34" s="30"/>
      <c r="N34" s="29"/>
      <c r="O34" s="29"/>
    </row>
    <row r="35" spans="1:15">
      <c r="A35" s="49"/>
      <c r="C35" s="50"/>
      <c r="D35" s="42"/>
      <c r="E35" s="29"/>
      <c r="F35" s="32"/>
      <c r="G35" s="29"/>
      <c r="H35" s="29"/>
      <c r="I35" s="31"/>
      <c r="J35" s="29"/>
      <c r="K35" s="29"/>
      <c r="L35" s="32"/>
      <c r="M35" s="30"/>
      <c r="N35" s="29"/>
      <c r="O35" s="29"/>
    </row>
    <row r="36" spans="1:15" ht="18">
      <c r="B36" s="46" t="s">
        <v>127</v>
      </c>
      <c r="C36" s="40"/>
      <c r="E36" s="29"/>
      <c r="F36" s="32"/>
      <c r="G36" s="29"/>
      <c r="H36" s="29"/>
      <c r="I36" s="29"/>
      <c r="J36" s="29"/>
      <c r="K36" s="29"/>
      <c r="L36" s="32"/>
      <c r="M36" s="30"/>
      <c r="N36" s="29"/>
      <c r="O36" s="29"/>
    </row>
    <row r="37" spans="1:15">
      <c r="B37" s="39"/>
      <c r="C37" s="40"/>
      <c r="E37" s="29"/>
      <c r="F37" s="32"/>
      <c r="G37" s="29"/>
      <c r="H37" s="29"/>
      <c r="I37" s="29"/>
      <c r="J37" s="29"/>
      <c r="K37" s="29"/>
      <c r="L37" s="32"/>
      <c r="M37" s="30"/>
      <c r="N37" s="29"/>
      <c r="O37" s="29"/>
    </row>
    <row r="38" spans="1:15">
      <c r="B38" s="41" t="s">
        <v>128</v>
      </c>
      <c r="C38" s="40"/>
      <c r="E38" s="29"/>
      <c r="F38" s="29"/>
      <c r="G38" s="29"/>
      <c r="H38" s="29"/>
      <c r="I38" s="29"/>
      <c r="J38" s="29"/>
      <c r="K38" s="29"/>
      <c r="L38" s="32"/>
      <c r="M38" s="30"/>
      <c r="N38" s="29"/>
      <c r="O38" s="29"/>
    </row>
    <row r="39" spans="1:15">
      <c r="B39" s="39"/>
      <c r="C39" s="40">
        <v>0</v>
      </c>
      <c r="E39" s="29"/>
      <c r="F39" s="29"/>
      <c r="G39" s="29"/>
      <c r="H39" s="29"/>
      <c r="I39" s="29"/>
      <c r="J39" s="29"/>
      <c r="K39" s="29"/>
      <c r="L39" s="32"/>
      <c r="M39" s="30"/>
      <c r="N39" s="29"/>
      <c r="O39" s="29"/>
    </row>
    <row r="40" spans="1:15" s="68" customFormat="1">
      <c r="B40" s="39"/>
      <c r="C40" s="40"/>
      <c r="E40" s="29"/>
      <c r="F40" s="29"/>
      <c r="G40" s="29"/>
      <c r="H40" s="29"/>
      <c r="I40" s="29"/>
      <c r="J40" s="29"/>
      <c r="K40" s="29"/>
      <c r="L40" s="32"/>
      <c r="M40" s="30"/>
      <c r="N40" s="29"/>
      <c r="O40" s="29"/>
    </row>
    <row r="41" spans="1:15">
      <c r="B41" s="39"/>
      <c r="C41" s="40"/>
      <c r="E41" s="29"/>
      <c r="F41" s="29"/>
      <c r="G41" s="29"/>
      <c r="H41" s="29"/>
      <c r="I41" s="29"/>
      <c r="J41" s="29"/>
      <c r="K41" s="29"/>
      <c r="L41" s="32"/>
      <c r="M41" s="30"/>
      <c r="N41" s="29"/>
      <c r="O41" s="29"/>
    </row>
    <row r="42" spans="1:15">
      <c r="B42" s="41" t="s">
        <v>129</v>
      </c>
      <c r="C42" s="40"/>
      <c r="E42" s="29"/>
      <c r="F42" s="29"/>
      <c r="G42" s="29"/>
      <c r="H42" s="29"/>
      <c r="I42" s="29"/>
      <c r="J42" s="29"/>
      <c r="K42" s="29"/>
      <c r="L42" s="32"/>
      <c r="M42" s="30"/>
      <c r="N42" s="29"/>
      <c r="O42" s="29"/>
    </row>
    <row r="43" spans="1:15">
      <c r="B43" s="39" t="s">
        <v>232</v>
      </c>
      <c r="C43" s="40">
        <v>100</v>
      </c>
      <c r="E43" s="29"/>
      <c r="F43" s="29"/>
      <c r="G43" s="29"/>
      <c r="H43" s="29"/>
      <c r="I43" s="29"/>
      <c r="J43" s="29"/>
      <c r="K43" s="29"/>
      <c r="L43" s="32"/>
      <c r="M43" s="30"/>
      <c r="N43" s="29"/>
      <c r="O43" s="29"/>
    </row>
    <row r="44" spans="1:15">
      <c r="B44" s="39" t="s">
        <v>130</v>
      </c>
      <c r="C44" s="40">
        <v>100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>
      <c r="B45" s="39" t="s">
        <v>131</v>
      </c>
      <c r="C45" s="40">
        <v>100</v>
      </c>
      <c r="E45" s="29"/>
      <c r="F45" s="30"/>
      <c r="G45" s="29"/>
      <c r="H45" s="29"/>
      <c r="I45" s="29"/>
      <c r="J45" s="29"/>
      <c r="K45" s="29"/>
      <c r="L45" s="29"/>
      <c r="M45" s="29"/>
      <c r="N45" s="29"/>
      <c r="O45" s="29"/>
    </row>
    <row r="46" spans="1:15">
      <c r="B46" s="39"/>
      <c r="C46" s="40"/>
      <c r="E46" s="29"/>
      <c r="F46" s="30"/>
      <c r="G46" s="29"/>
      <c r="H46" s="29"/>
      <c r="I46" s="29"/>
      <c r="J46" s="29"/>
      <c r="K46" s="29"/>
      <c r="L46" s="29"/>
      <c r="M46" s="30"/>
      <c r="N46" s="29"/>
      <c r="O46" s="29"/>
    </row>
    <row r="47" spans="1:15">
      <c r="B47" s="39"/>
      <c r="C47" s="40"/>
      <c r="E47" s="29"/>
      <c r="F47" s="30"/>
      <c r="G47" s="29"/>
      <c r="H47" s="29"/>
      <c r="I47" s="29"/>
      <c r="J47" s="29"/>
      <c r="K47" s="29"/>
      <c r="L47" s="29"/>
      <c r="M47" s="30"/>
      <c r="N47" s="29"/>
      <c r="O47" s="29"/>
    </row>
    <row r="48" spans="1:15">
      <c r="B48" s="41" t="s">
        <v>241</v>
      </c>
      <c r="C48" s="40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2:15">
      <c r="B49" s="39"/>
      <c r="C49" s="40">
        <v>0</v>
      </c>
      <c r="E49" s="29"/>
      <c r="F49" s="30"/>
      <c r="G49" s="29"/>
      <c r="H49" s="29"/>
      <c r="I49" s="29"/>
      <c r="J49" s="29"/>
      <c r="K49" s="29"/>
      <c r="L49" s="29"/>
      <c r="M49" s="29"/>
      <c r="N49" s="29"/>
      <c r="O49" s="29"/>
    </row>
    <row r="50" spans="2:15">
      <c r="B50" s="39"/>
      <c r="C50" s="40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2:15">
      <c r="B51" s="39"/>
      <c r="C51" s="4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2:15" s="68" customFormat="1">
      <c r="B52" s="41" t="s">
        <v>233</v>
      </c>
      <c r="C52" s="4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2:15" s="68" customFormat="1">
      <c r="B53" s="39"/>
      <c r="C53" s="4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2:15" s="68" customFormat="1">
      <c r="B54" s="39"/>
      <c r="C54" s="4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>
      <c r="B55" s="41" t="s">
        <v>132</v>
      </c>
      <c r="C55" s="40"/>
      <c r="E55" s="29"/>
      <c r="F55" s="32"/>
      <c r="G55" s="29"/>
      <c r="H55" s="33"/>
      <c r="I55" s="33"/>
      <c r="J55" s="29"/>
      <c r="K55" s="32"/>
      <c r="L55" s="29"/>
      <c r="M55" s="29"/>
      <c r="N55" s="29"/>
      <c r="O55" s="29"/>
    </row>
    <row r="56" spans="2:15">
      <c r="B56" s="39" t="s">
        <v>421</v>
      </c>
      <c r="C56" s="50">
        <f>16*60</f>
        <v>960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>
      <c r="B57" s="39"/>
      <c r="C57" s="4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>
      <c r="B58" s="41" t="s">
        <v>133</v>
      </c>
      <c r="C58" s="40">
        <v>800</v>
      </c>
      <c r="E58" s="29"/>
      <c r="F58" s="30"/>
      <c r="G58" s="29"/>
      <c r="H58" s="29"/>
      <c r="I58" s="29"/>
      <c r="J58" s="29"/>
      <c r="K58" s="30"/>
      <c r="L58" s="29"/>
      <c r="M58" s="29"/>
      <c r="N58" s="29"/>
      <c r="O58" s="29"/>
    </row>
    <row r="59" spans="2:15">
      <c r="B59" s="39"/>
      <c r="C59" s="40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>
      <c r="B60" s="51"/>
      <c r="C60" s="40"/>
      <c r="E60" s="29"/>
      <c r="F60" s="29"/>
      <c r="G60" s="29"/>
      <c r="H60" s="29"/>
      <c r="I60" s="29"/>
      <c r="J60" s="29"/>
      <c r="K60" s="34"/>
      <c r="L60" s="29"/>
      <c r="M60" s="29"/>
      <c r="N60" s="29"/>
      <c r="O60" s="29"/>
    </row>
    <row r="61" spans="2:15" ht="15">
      <c r="B61" s="47" t="s">
        <v>134</v>
      </c>
      <c r="C61" s="52">
        <f>SUM(C10:C58)</f>
        <v>14931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2:15" ht="16" thickBot="1">
      <c r="B62" s="53"/>
      <c r="C62" s="54"/>
      <c r="E62" s="29"/>
      <c r="F62" s="29"/>
      <c r="G62" s="29"/>
      <c r="H62" s="30"/>
      <c r="I62" s="29"/>
      <c r="J62" s="29"/>
      <c r="K62" s="29"/>
      <c r="L62" s="29"/>
      <c r="M62" s="29"/>
      <c r="N62" s="29"/>
      <c r="O62" s="29"/>
    </row>
    <row r="63" spans="2:15" ht="15">
      <c r="B63" s="55"/>
      <c r="C63" s="56"/>
    </row>
    <row r="64" spans="2:15" ht="15">
      <c r="B64" s="55"/>
      <c r="C64" s="56"/>
    </row>
    <row r="65" spans="2:8" ht="16" thickBot="1">
      <c r="B65" s="55"/>
      <c r="C65" s="56"/>
    </row>
    <row r="66" spans="2:8" ht="20">
      <c r="B66" s="383" t="s">
        <v>135</v>
      </c>
      <c r="C66" s="384"/>
    </row>
    <row r="67" spans="2:8">
      <c r="B67" s="39"/>
      <c r="C67" s="40"/>
    </row>
    <row r="68" spans="2:8">
      <c r="B68" s="41" t="s">
        <v>51</v>
      </c>
      <c r="C68" s="40"/>
    </row>
    <row r="69" spans="2:8" s="68" customFormat="1">
      <c r="B69" s="48" t="s">
        <v>219</v>
      </c>
      <c r="C69" s="278">
        <v>0</v>
      </c>
      <c r="H69" s="36"/>
    </row>
    <row r="70" spans="2:8">
      <c r="B70" s="39" t="s">
        <v>176</v>
      </c>
      <c r="C70" s="40">
        <v>200</v>
      </c>
    </row>
    <row r="71" spans="2:8">
      <c r="B71" s="39" t="s">
        <v>215</v>
      </c>
      <c r="C71" s="278">
        <v>0</v>
      </c>
    </row>
    <row r="72" spans="2:8">
      <c r="B72" s="39" t="s">
        <v>216</v>
      </c>
      <c r="C72" s="278">
        <v>0</v>
      </c>
    </row>
    <row r="73" spans="2:8">
      <c r="B73" s="39" t="s">
        <v>228</v>
      </c>
      <c r="C73" s="278">
        <v>0</v>
      </c>
    </row>
    <row r="74" spans="2:8" s="68" customFormat="1">
      <c r="B74" s="39" t="s">
        <v>218</v>
      </c>
      <c r="C74" s="278">
        <v>0</v>
      </c>
      <c r="H74" s="36"/>
    </row>
    <row r="75" spans="2:8" s="68" customFormat="1">
      <c r="B75" s="39" t="s">
        <v>224</v>
      </c>
      <c r="C75" s="278">
        <v>0</v>
      </c>
      <c r="D75" s="68" t="s">
        <v>236</v>
      </c>
      <c r="H75" s="36"/>
    </row>
    <row r="76" spans="2:8" s="68" customFormat="1">
      <c r="B76" s="39" t="s">
        <v>152</v>
      </c>
      <c r="C76" s="278">
        <v>0</v>
      </c>
      <c r="H76" s="36"/>
    </row>
    <row r="77" spans="2:8" s="68" customFormat="1">
      <c r="B77" s="39" t="s">
        <v>217</v>
      </c>
      <c r="C77" s="278">
        <v>0</v>
      </c>
      <c r="H77" s="36"/>
    </row>
    <row r="78" spans="2:8" s="68" customFormat="1">
      <c r="B78" s="39" t="s">
        <v>230</v>
      </c>
      <c r="C78" s="40">
        <v>200</v>
      </c>
      <c r="H78" s="36"/>
    </row>
    <row r="79" spans="2:8" s="68" customFormat="1">
      <c r="B79" s="39" t="s">
        <v>229</v>
      </c>
      <c r="C79" s="278">
        <v>0</v>
      </c>
      <c r="H79" s="36"/>
    </row>
    <row r="80" spans="2:8" s="68" customFormat="1">
      <c r="B80" s="39" t="s">
        <v>185</v>
      </c>
      <c r="C80" s="40">
        <v>200</v>
      </c>
      <c r="H80" s="36"/>
    </row>
    <row r="81" spans="2:8" s="68" customFormat="1">
      <c r="B81" s="39" t="s">
        <v>136</v>
      </c>
      <c r="C81" s="278">
        <v>0</v>
      </c>
      <c r="H81" s="36"/>
    </row>
    <row r="82" spans="2:8" s="68" customFormat="1">
      <c r="B82" s="39" t="s">
        <v>156</v>
      </c>
      <c r="C82" s="278">
        <v>0</v>
      </c>
      <c r="H82" s="36"/>
    </row>
    <row r="83" spans="2:8" s="68" customFormat="1">
      <c r="B83" s="39" t="s">
        <v>181</v>
      </c>
      <c r="C83" s="278">
        <v>0</v>
      </c>
      <c r="H83" s="36"/>
    </row>
    <row r="84" spans="2:8" s="68" customFormat="1">
      <c r="B84" s="39" t="s">
        <v>220</v>
      </c>
      <c r="C84" s="278">
        <v>0</v>
      </c>
      <c r="H84" s="36"/>
    </row>
    <row r="85" spans="2:8" s="68" customFormat="1">
      <c r="B85" s="39" t="s">
        <v>242</v>
      </c>
      <c r="C85" s="278">
        <v>0</v>
      </c>
      <c r="H85" s="36"/>
    </row>
    <row r="86" spans="2:8" s="67" customFormat="1">
      <c r="B86" s="39" t="s">
        <v>231</v>
      </c>
      <c r="C86" s="278">
        <v>0</v>
      </c>
      <c r="H86" s="36"/>
    </row>
    <row r="87" spans="2:8">
      <c r="B87" s="39"/>
      <c r="C87" s="40">
        <f>SUM(C69:C86)</f>
        <v>600</v>
      </c>
    </row>
    <row r="88" spans="2:8">
      <c r="B88" s="41" t="s">
        <v>137</v>
      </c>
      <c r="C88" s="40"/>
    </row>
    <row r="89" spans="2:8">
      <c r="B89" s="39" t="s">
        <v>243</v>
      </c>
      <c r="C89" s="40">
        <f>40*40</f>
        <v>1600</v>
      </c>
    </row>
    <row r="90" spans="2:8">
      <c r="B90" s="39"/>
      <c r="C90" s="40"/>
    </row>
    <row r="91" spans="2:8">
      <c r="B91" s="39"/>
      <c r="C91" s="40"/>
    </row>
    <row r="92" spans="2:8">
      <c r="B92" s="41" t="s">
        <v>155</v>
      </c>
      <c r="C92" s="40"/>
    </row>
    <row r="93" spans="2:8">
      <c r="B93" s="39" t="s">
        <v>138</v>
      </c>
      <c r="C93" s="40">
        <v>2000</v>
      </c>
    </row>
    <row r="94" spans="2:8">
      <c r="B94" s="39" t="s">
        <v>139</v>
      </c>
      <c r="C94" s="278"/>
    </row>
    <row r="95" spans="2:8">
      <c r="B95" s="39" t="s">
        <v>182</v>
      </c>
      <c r="C95" s="40">
        <v>500</v>
      </c>
    </row>
    <row r="96" spans="2:8" s="68" customFormat="1">
      <c r="B96" s="39" t="s">
        <v>234</v>
      </c>
      <c r="C96" s="278"/>
      <c r="H96" s="36"/>
    </row>
    <row r="97" spans="2:4">
      <c r="B97" s="39" t="s">
        <v>311</v>
      </c>
      <c r="C97" s="40">
        <v>500</v>
      </c>
      <c r="D97" s="68"/>
    </row>
    <row r="98" spans="2:4">
      <c r="B98" s="39"/>
      <c r="C98" s="40"/>
    </row>
    <row r="99" spans="2:4">
      <c r="B99" s="41" t="s">
        <v>140</v>
      </c>
      <c r="C99" s="40"/>
    </row>
    <row r="100" spans="2:4">
      <c r="B100" s="39" t="s">
        <v>141</v>
      </c>
      <c r="C100" s="40"/>
    </row>
    <row r="101" spans="2:4">
      <c r="B101" s="39"/>
      <c r="C101" s="40"/>
    </row>
    <row r="102" spans="2:4">
      <c r="B102" s="39"/>
      <c r="C102" s="40"/>
    </row>
    <row r="103" spans="2:4">
      <c r="B103" s="57" t="s">
        <v>142</v>
      </c>
      <c r="C103" s="40"/>
    </row>
    <row r="104" spans="2:4">
      <c r="B104" s="39" t="s">
        <v>143</v>
      </c>
      <c r="C104" s="40">
        <v>701.96</v>
      </c>
      <c r="D104" s="68"/>
    </row>
    <row r="105" spans="2:4">
      <c r="B105" s="39" t="s">
        <v>144</v>
      </c>
      <c r="C105" s="278">
        <v>1000</v>
      </c>
    </row>
    <row r="106" spans="2:4">
      <c r="B106" s="39" t="s">
        <v>145</v>
      </c>
      <c r="C106" s="278">
        <v>5000</v>
      </c>
    </row>
    <row r="107" spans="2:4">
      <c r="B107" s="39"/>
      <c r="C107" s="40"/>
    </row>
    <row r="108" spans="2:4">
      <c r="B108" s="39"/>
      <c r="C108" s="40"/>
    </row>
    <row r="109" spans="2:4">
      <c r="B109" s="41" t="s">
        <v>52</v>
      </c>
      <c r="C109" s="40"/>
    </row>
    <row r="110" spans="2:4">
      <c r="B110" s="39" t="s">
        <v>245</v>
      </c>
      <c r="C110" s="40">
        <f>60*20</f>
        <v>1200</v>
      </c>
    </row>
    <row r="111" spans="2:4">
      <c r="B111" s="39"/>
      <c r="C111" s="40"/>
    </row>
    <row r="112" spans="2:4">
      <c r="B112" s="39"/>
      <c r="C112" s="40"/>
    </row>
    <row r="113" spans="2:4" ht="15">
      <c r="B113" s="47" t="s">
        <v>146</v>
      </c>
      <c r="C113" s="52">
        <f>SUM(C67:C110)</f>
        <v>13701.96</v>
      </c>
    </row>
    <row r="114" spans="2:4" ht="15" thickBot="1">
      <c r="B114" s="58"/>
      <c r="C114" s="59"/>
    </row>
    <row r="115" spans="2:4">
      <c r="B115" s="29"/>
      <c r="C115" s="60"/>
    </row>
    <row r="116" spans="2:4" ht="15" thickBot="1">
      <c r="B116" s="29"/>
      <c r="C116" s="60"/>
    </row>
    <row r="117" spans="2:4">
      <c r="B117" s="61"/>
      <c r="C117" s="62"/>
    </row>
    <row r="118" spans="2:4" ht="15">
      <c r="B118" s="47" t="s">
        <v>123</v>
      </c>
      <c r="C118" s="52">
        <f>C61</f>
        <v>14931</v>
      </c>
    </row>
    <row r="119" spans="2:4" ht="15">
      <c r="B119" s="47" t="s">
        <v>135</v>
      </c>
      <c r="C119" s="52">
        <f>C113</f>
        <v>13701.96</v>
      </c>
      <c r="D119" s="29"/>
    </row>
    <row r="120" spans="2:4" ht="15">
      <c r="B120" s="47"/>
      <c r="C120" s="52"/>
      <c r="D120" s="29"/>
    </row>
    <row r="121" spans="2:4" ht="15">
      <c r="B121" s="47" t="s">
        <v>147</v>
      </c>
      <c r="C121" s="52">
        <f>C119-C118</f>
        <v>-1229.0400000000009</v>
      </c>
      <c r="D121" s="29"/>
    </row>
    <row r="122" spans="2:4" ht="16" thickBot="1">
      <c r="B122" s="53"/>
      <c r="C122" s="54"/>
      <c r="D122" s="29"/>
    </row>
    <row r="123" spans="2:4" ht="15">
      <c r="B123" s="55"/>
      <c r="C123" s="56"/>
    </row>
    <row r="124" spans="2:4" ht="15">
      <c r="B124" s="55" t="s">
        <v>148</v>
      </c>
      <c r="C124" s="56"/>
    </row>
    <row r="125" spans="2:4" ht="15">
      <c r="B125" s="29" t="s">
        <v>166</v>
      </c>
      <c r="C125" s="56"/>
    </row>
    <row r="126" spans="2:4" ht="15">
      <c r="B126" s="35"/>
      <c r="C126" s="56"/>
    </row>
    <row r="127" spans="2:4" ht="15">
      <c r="B127" s="35"/>
      <c r="C127" s="56"/>
    </row>
  </sheetData>
  <mergeCells count="3">
    <mergeCell ref="B2:C4"/>
    <mergeCell ref="B6:C6"/>
    <mergeCell ref="B66:C66"/>
  </mergeCells>
  <phoneticPr fontId="5" type="noConversion"/>
  <pageMargins left="0.75" right="0.75" top="1" bottom="1" header="0.5" footer="0.5"/>
  <pageSetup orientation="portrait" horizontalDpi="300" verticalDpi="300"/>
  <headerFooter alignWithMargins="0"/>
  <rowBreaks count="1" manualBreakCount="1"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05"/>
  <sheetViews>
    <sheetView topLeftCell="A24" workbookViewId="0">
      <selection activeCell="G78" sqref="G78"/>
    </sheetView>
  </sheetViews>
  <sheetFormatPr baseColWidth="10" defaultColWidth="9.1640625" defaultRowHeight="13" x14ac:dyDescent="0"/>
  <cols>
    <col min="1" max="1" width="10.6640625" style="167" bestFit="1" customWidth="1"/>
    <col min="2" max="2" width="17.5" style="105" customWidth="1"/>
    <col min="3" max="3" width="32" style="106" bestFit="1" customWidth="1"/>
    <col min="4" max="4" width="10.5" style="105" bestFit="1" customWidth="1"/>
    <col min="5" max="5" width="11.6640625" style="107" bestFit="1" customWidth="1"/>
    <col min="6" max="6" width="10" style="318" customWidth="1"/>
    <col min="7" max="7" width="11.1640625" style="109" bestFit="1" customWidth="1"/>
    <col min="8" max="8" width="12.6640625" style="106" customWidth="1"/>
    <col min="9" max="9" width="18.83203125" style="106" customWidth="1"/>
    <col min="10" max="10" width="15" style="106" bestFit="1" customWidth="1"/>
    <col min="11" max="11" width="11.5" style="106" bestFit="1" customWidth="1"/>
    <col min="12" max="12" width="10.1640625" style="106" bestFit="1" customWidth="1"/>
    <col min="13" max="14" width="9.1640625" style="106"/>
    <col min="15" max="15" width="10" style="106" bestFit="1" customWidth="1"/>
    <col min="16" max="16384" width="9.1640625" style="106"/>
  </cols>
  <sheetData>
    <row r="1" spans="1:15" ht="32">
      <c r="A1" s="104" t="s">
        <v>71</v>
      </c>
    </row>
    <row r="3" spans="1:15" ht="17">
      <c r="A3" s="110" t="s">
        <v>1</v>
      </c>
      <c r="B3" s="111" t="s">
        <v>58</v>
      </c>
      <c r="C3" s="112" t="s">
        <v>38</v>
      </c>
      <c r="D3" s="111" t="s">
        <v>0</v>
      </c>
      <c r="E3" s="113" t="s">
        <v>60</v>
      </c>
      <c r="F3" s="113" t="s">
        <v>61</v>
      </c>
      <c r="G3" s="114" t="s">
        <v>66</v>
      </c>
      <c r="I3" s="115"/>
      <c r="J3" s="116"/>
      <c r="K3" s="112"/>
      <c r="L3" s="116"/>
      <c r="M3" s="117"/>
      <c r="N3" s="117"/>
      <c r="O3" s="114"/>
    </row>
    <row r="4" spans="1:15" ht="14">
      <c r="A4" s="118"/>
      <c r="B4" s="119"/>
      <c r="C4" s="323" t="s">
        <v>207</v>
      </c>
      <c r="D4" s="121" t="s">
        <v>314</v>
      </c>
      <c r="E4" s="322">
        <v>216.78</v>
      </c>
      <c r="F4" s="122"/>
      <c r="G4" s="123">
        <f>E4</f>
        <v>216.78</v>
      </c>
      <c r="I4" s="124"/>
      <c r="J4" s="125"/>
      <c r="K4" s="95"/>
      <c r="L4" s="125"/>
      <c r="M4" s="122"/>
      <c r="N4" s="95"/>
      <c r="O4" s="123"/>
    </row>
    <row r="5" spans="1:15" ht="14">
      <c r="A5" s="118"/>
      <c r="B5" s="126" t="s">
        <v>59</v>
      </c>
      <c r="C5" s="323" t="s">
        <v>347</v>
      </c>
      <c r="D5" s="121" t="s">
        <v>280</v>
      </c>
      <c r="E5" s="122">
        <v>20</v>
      </c>
      <c r="F5" s="127"/>
      <c r="G5" s="123">
        <f>G4+E5-F5</f>
        <v>236.78</v>
      </c>
      <c r="K5" s="128"/>
      <c r="L5" s="128"/>
      <c r="M5" s="129"/>
      <c r="N5" s="130"/>
      <c r="O5" s="123"/>
    </row>
    <row r="6" spans="1:15" ht="14">
      <c r="A6" s="131"/>
      <c r="B6" s="126" t="s">
        <v>59</v>
      </c>
      <c r="C6" s="137" t="s">
        <v>349</v>
      </c>
      <c r="D6" s="121" t="s">
        <v>280</v>
      </c>
      <c r="E6" s="122">
        <v>20</v>
      </c>
      <c r="F6" s="96"/>
      <c r="G6" s="123">
        <f t="shared" ref="G6:G69" si="0">G5+E6-F6</f>
        <v>256.77999999999997</v>
      </c>
      <c r="K6" s="95"/>
      <c r="L6" s="125"/>
      <c r="M6" s="122"/>
      <c r="N6" s="95"/>
      <c r="O6" s="123"/>
    </row>
    <row r="7" spans="1:15" ht="14">
      <c r="A7" s="131"/>
      <c r="B7" s="126" t="s">
        <v>59</v>
      </c>
      <c r="C7" s="137" t="s">
        <v>244</v>
      </c>
      <c r="D7" s="121" t="s">
        <v>280</v>
      </c>
      <c r="E7" s="122">
        <v>20</v>
      </c>
      <c r="F7" s="96"/>
      <c r="G7" s="123">
        <f t="shared" si="0"/>
        <v>276.77999999999997</v>
      </c>
      <c r="K7" s="95"/>
      <c r="L7" s="125"/>
      <c r="M7" s="122"/>
      <c r="N7" s="95"/>
      <c r="O7" s="123"/>
    </row>
    <row r="8" spans="1:15" ht="14">
      <c r="A8" s="131"/>
      <c r="B8" s="126" t="s">
        <v>59</v>
      </c>
      <c r="C8" s="137" t="s">
        <v>357</v>
      </c>
      <c r="D8" s="121" t="s">
        <v>280</v>
      </c>
      <c r="E8" s="122">
        <v>20</v>
      </c>
      <c r="F8" s="96"/>
      <c r="G8" s="123">
        <f t="shared" si="0"/>
        <v>296.77999999999997</v>
      </c>
      <c r="K8" s="95"/>
      <c r="L8" s="125"/>
      <c r="M8" s="122"/>
      <c r="N8" s="95"/>
      <c r="O8" s="123"/>
    </row>
    <row r="9" spans="1:15" ht="14">
      <c r="A9" s="131"/>
      <c r="B9" s="126" t="s">
        <v>59</v>
      </c>
      <c r="C9" s="137" t="s">
        <v>287</v>
      </c>
      <c r="D9" s="121" t="s">
        <v>280</v>
      </c>
      <c r="E9" s="122">
        <v>20</v>
      </c>
      <c r="F9" s="96"/>
      <c r="G9" s="123">
        <f t="shared" si="0"/>
        <v>316.77999999999997</v>
      </c>
      <c r="J9" s="128"/>
      <c r="K9" s="132"/>
      <c r="L9" s="125"/>
      <c r="M9" s="122"/>
      <c r="N9" s="95"/>
      <c r="O9" s="123"/>
    </row>
    <row r="10" spans="1:15" ht="14">
      <c r="A10" s="131"/>
      <c r="B10" s="126" t="s">
        <v>59</v>
      </c>
      <c r="C10" s="137" t="s">
        <v>315</v>
      </c>
      <c r="D10" s="121" t="s">
        <v>280</v>
      </c>
      <c r="E10" s="122">
        <v>20</v>
      </c>
      <c r="F10" s="96"/>
      <c r="G10" s="123">
        <f t="shared" si="0"/>
        <v>336.78</v>
      </c>
      <c r="J10" s="385" t="s">
        <v>195</v>
      </c>
      <c r="K10" s="385"/>
      <c r="L10" s="125"/>
      <c r="M10" s="95"/>
      <c r="N10" s="122"/>
      <c r="O10" s="123"/>
    </row>
    <row r="11" spans="1:15" ht="14">
      <c r="A11" s="131"/>
      <c r="B11" s="126" t="s">
        <v>59</v>
      </c>
      <c r="C11" s="137" t="s">
        <v>336</v>
      </c>
      <c r="D11" s="121" t="s">
        <v>280</v>
      </c>
      <c r="E11" s="122">
        <v>20</v>
      </c>
      <c r="F11" s="96"/>
      <c r="G11" s="123">
        <f t="shared" si="0"/>
        <v>356.78</v>
      </c>
      <c r="J11" s="133" t="s">
        <v>59</v>
      </c>
      <c r="K11" s="134">
        <f>SUMIF($B$4:$B$75,"Membership",$E$4:$E$75)</f>
        <v>700</v>
      </c>
      <c r="L11" s="125"/>
      <c r="M11" s="122"/>
      <c r="N11" s="95"/>
      <c r="O11" s="123"/>
    </row>
    <row r="12" spans="1:15" ht="14">
      <c r="A12" s="131"/>
      <c r="B12" s="126" t="s">
        <v>59</v>
      </c>
      <c r="C12" s="137" t="s">
        <v>275</v>
      </c>
      <c r="D12" s="121" t="s">
        <v>280</v>
      </c>
      <c r="E12" s="122">
        <v>20</v>
      </c>
      <c r="F12" s="96"/>
      <c r="G12" s="123">
        <f t="shared" si="0"/>
        <v>376.78</v>
      </c>
      <c r="J12" s="133" t="s">
        <v>116</v>
      </c>
      <c r="K12" s="134">
        <f>SUMIF($B$4:$B$75,"Conference",$E$4:$E$75)</f>
        <v>1400</v>
      </c>
      <c r="L12" s="135"/>
      <c r="M12" s="122"/>
      <c r="N12" s="95"/>
      <c r="O12" s="123"/>
    </row>
    <row r="13" spans="1:15" ht="14">
      <c r="A13" s="131"/>
      <c r="B13" s="126" t="s">
        <v>59</v>
      </c>
      <c r="C13" s="137" t="s">
        <v>314</v>
      </c>
      <c r="D13" s="121" t="s">
        <v>280</v>
      </c>
      <c r="E13" s="122">
        <v>20</v>
      </c>
      <c r="F13" s="122"/>
      <c r="G13" s="123">
        <f t="shared" si="0"/>
        <v>396.78</v>
      </c>
      <c r="J13" s="133" t="s">
        <v>62</v>
      </c>
      <c r="K13" s="134">
        <f>SUMIF($B$4:$B$75,"Shirt",$E$4:$E$75)</f>
        <v>0</v>
      </c>
      <c r="L13" s="125"/>
      <c r="M13" s="95"/>
      <c r="N13" s="122"/>
      <c r="O13" s="123"/>
    </row>
    <row r="14" spans="1:15" ht="14">
      <c r="A14" s="131"/>
      <c r="B14" s="126" t="s">
        <v>59</v>
      </c>
      <c r="C14" s="137" t="s">
        <v>279</v>
      </c>
      <c r="D14" s="121" t="s">
        <v>280</v>
      </c>
      <c r="E14" s="122">
        <v>20</v>
      </c>
      <c r="F14" s="96"/>
      <c r="G14" s="123">
        <f t="shared" si="0"/>
        <v>416.78</v>
      </c>
      <c r="J14" s="124"/>
      <c r="K14" s="135"/>
      <c r="L14" s="125"/>
      <c r="M14" s="95"/>
      <c r="N14" s="122"/>
      <c r="O14" s="123"/>
    </row>
    <row r="15" spans="1:15" ht="14">
      <c r="A15" s="131"/>
      <c r="B15" s="126" t="s">
        <v>59</v>
      </c>
      <c r="C15" s="137" t="s">
        <v>276</v>
      </c>
      <c r="D15" s="121" t="s">
        <v>280</v>
      </c>
      <c r="E15" s="122">
        <v>20</v>
      </c>
      <c r="F15" s="96"/>
      <c r="G15" s="123">
        <f t="shared" si="0"/>
        <v>436.78</v>
      </c>
      <c r="J15" s="124"/>
      <c r="K15" s="135"/>
      <c r="L15" s="125"/>
      <c r="M15" s="95"/>
      <c r="N15" s="122"/>
      <c r="O15" s="123"/>
    </row>
    <row r="16" spans="1:15" ht="14">
      <c r="A16" s="131"/>
      <c r="B16" s="126" t="s">
        <v>59</v>
      </c>
      <c r="C16" s="137" t="s">
        <v>365</v>
      </c>
      <c r="D16" s="121" t="s">
        <v>280</v>
      </c>
      <c r="E16" s="122">
        <v>20</v>
      </c>
      <c r="F16" s="96"/>
      <c r="G16" s="123">
        <f t="shared" si="0"/>
        <v>456.78</v>
      </c>
      <c r="I16" s="124"/>
      <c r="J16" s="386" t="s">
        <v>196</v>
      </c>
      <c r="K16" s="386"/>
      <c r="L16" s="125"/>
      <c r="M16" s="122"/>
      <c r="N16" s="95"/>
      <c r="O16" s="123"/>
    </row>
    <row r="17" spans="1:15" ht="14">
      <c r="A17" s="131"/>
      <c r="B17" s="126" t="s">
        <v>59</v>
      </c>
      <c r="C17" s="137" t="s">
        <v>288</v>
      </c>
      <c r="D17" s="121" t="s">
        <v>280</v>
      </c>
      <c r="E17" s="122">
        <v>20</v>
      </c>
      <c r="F17" s="96"/>
      <c r="G17" s="123">
        <f t="shared" si="0"/>
        <v>476.78</v>
      </c>
      <c r="I17" s="124"/>
      <c r="J17" s="133" t="s">
        <v>116</v>
      </c>
      <c r="K17" s="136">
        <f>SUMIF($B$4:$B$75,"Conference",$F$4:$F$75)</f>
        <v>0</v>
      </c>
      <c r="L17" s="125"/>
      <c r="M17" s="122"/>
      <c r="N17" s="95"/>
      <c r="O17" s="123"/>
    </row>
    <row r="18" spans="1:15" ht="14">
      <c r="A18" s="131"/>
      <c r="B18" s="126" t="s">
        <v>59</v>
      </c>
      <c r="C18" s="137" t="s">
        <v>318</v>
      </c>
      <c r="D18" s="121" t="s">
        <v>280</v>
      </c>
      <c r="E18" s="122">
        <v>20</v>
      </c>
      <c r="F18" s="96"/>
      <c r="G18" s="123">
        <f t="shared" si="0"/>
        <v>496.78</v>
      </c>
      <c r="I18" s="124"/>
      <c r="J18" s="133" t="s">
        <v>197</v>
      </c>
      <c r="K18" s="134" t="e">
        <f>SUMIF($B$4:$B$75,"Misc",$F$4:$F$75)+BERF!#REF!+SUM(BERF!#REF!,BERF!#REF!,BERF!#REF!)+SUM(BERF!#REF!)</f>
        <v>#REF!</v>
      </c>
      <c r="L18" s="125"/>
      <c r="M18" s="122"/>
      <c r="N18" s="95"/>
      <c r="O18" s="123"/>
    </row>
    <row r="19" spans="1:15" ht="14">
      <c r="A19" s="131"/>
      <c r="B19" s="126" t="s">
        <v>59</v>
      </c>
      <c r="C19" s="137" t="s">
        <v>339</v>
      </c>
      <c r="D19" s="121" t="s">
        <v>280</v>
      </c>
      <c r="E19" s="122">
        <v>20</v>
      </c>
      <c r="F19" s="96"/>
      <c r="G19" s="123">
        <f t="shared" si="0"/>
        <v>516.78</v>
      </c>
      <c r="I19" s="124"/>
      <c r="J19" s="133" t="s">
        <v>188</v>
      </c>
      <c r="K19" s="134">
        <f>SUMIF($B$4:$B$75,"Reimbursement",$F$4:$F$75)</f>
        <v>0</v>
      </c>
      <c r="L19" s="125"/>
      <c r="M19" s="95"/>
      <c r="N19" s="122"/>
      <c r="O19" s="123"/>
    </row>
    <row r="20" spans="1:15" ht="14">
      <c r="A20" s="131"/>
      <c r="B20" s="126" t="s">
        <v>59</v>
      </c>
      <c r="C20" s="137" t="s">
        <v>277</v>
      </c>
      <c r="D20" s="121" t="s">
        <v>280</v>
      </c>
      <c r="E20" s="122">
        <v>20</v>
      </c>
      <c r="F20" s="96"/>
      <c r="G20" s="123">
        <f t="shared" si="0"/>
        <v>536.78</v>
      </c>
      <c r="I20" s="124"/>
      <c r="J20" s="133" t="s">
        <v>39</v>
      </c>
      <c r="K20" s="134">
        <f>SUMIF($B$4:$B$75,"Food",$F$4:$F$75)</f>
        <v>0</v>
      </c>
      <c r="L20" s="125"/>
      <c r="M20" s="95"/>
      <c r="N20" s="122"/>
      <c r="O20" s="123"/>
    </row>
    <row r="21" spans="1:15" ht="14">
      <c r="A21" s="131"/>
      <c r="B21" s="126" t="s">
        <v>59</v>
      </c>
      <c r="C21" s="137" t="s">
        <v>267</v>
      </c>
      <c r="D21" s="121" t="s">
        <v>280</v>
      </c>
      <c r="E21" s="122">
        <v>20</v>
      </c>
      <c r="F21" s="96"/>
      <c r="G21" s="123">
        <f t="shared" si="0"/>
        <v>556.78</v>
      </c>
      <c r="I21" s="124"/>
      <c r="J21" s="125"/>
      <c r="K21" s="95"/>
      <c r="L21" s="125"/>
      <c r="M21" s="122"/>
      <c r="N21" s="95"/>
      <c r="O21" s="123"/>
    </row>
    <row r="22" spans="1:15" ht="14">
      <c r="A22" s="131"/>
      <c r="B22" s="126" t="s">
        <v>59</v>
      </c>
      <c r="C22" s="137" t="s">
        <v>308</v>
      </c>
      <c r="D22" s="121" t="s">
        <v>280</v>
      </c>
      <c r="E22" s="122">
        <v>20</v>
      </c>
      <c r="F22" s="96"/>
      <c r="G22" s="123">
        <f t="shared" si="0"/>
        <v>576.78</v>
      </c>
      <c r="I22" s="124"/>
      <c r="J22" s="125"/>
      <c r="K22" s="95"/>
      <c r="L22" s="125"/>
      <c r="M22" s="122"/>
      <c r="N22" s="95"/>
      <c r="O22" s="123"/>
    </row>
    <row r="23" spans="1:15" ht="14">
      <c r="A23" s="131"/>
      <c r="B23" s="126" t="s">
        <v>59</v>
      </c>
      <c r="C23" s="137" t="s">
        <v>280</v>
      </c>
      <c r="D23" s="121" t="s">
        <v>280</v>
      </c>
      <c r="E23" s="122">
        <v>20</v>
      </c>
      <c r="F23" s="96"/>
      <c r="G23" s="123">
        <f t="shared" si="0"/>
        <v>596.78</v>
      </c>
      <c r="I23" s="124"/>
      <c r="J23" s="125"/>
      <c r="K23" s="95"/>
      <c r="L23" s="125"/>
      <c r="M23" s="122"/>
      <c r="N23" s="95"/>
      <c r="O23" s="123"/>
    </row>
    <row r="24" spans="1:15" ht="14">
      <c r="A24" s="131"/>
      <c r="B24" s="126" t="s">
        <v>59</v>
      </c>
      <c r="C24" s="137" t="s">
        <v>284</v>
      </c>
      <c r="D24" s="121" t="s">
        <v>280</v>
      </c>
      <c r="E24" s="122">
        <v>20</v>
      </c>
      <c r="F24" s="96"/>
      <c r="G24" s="123">
        <f t="shared" si="0"/>
        <v>616.78</v>
      </c>
      <c r="I24" s="124"/>
      <c r="J24" s="125"/>
      <c r="K24" s="95"/>
      <c r="L24" s="125"/>
      <c r="M24" s="122"/>
      <c r="N24" s="95"/>
      <c r="O24" s="123"/>
    </row>
    <row r="25" spans="1:15" ht="14">
      <c r="A25" s="131"/>
      <c r="B25" s="126" t="s">
        <v>59</v>
      </c>
      <c r="C25" s="137" t="s">
        <v>273</v>
      </c>
      <c r="D25" s="121" t="s">
        <v>280</v>
      </c>
      <c r="E25" s="122">
        <v>20</v>
      </c>
      <c r="F25" s="122"/>
      <c r="G25" s="123">
        <f t="shared" si="0"/>
        <v>636.78</v>
      </c>
      <c r="I25" s="124"/>
      <c r="J25" s="125"/>
      <c r="K25" s="95"/>
      <c r="L25" s="125"/>
      <c r="M25" s="122"/>
      <c r="N25" s="95"/>
      <c r="O25" s="123"/>
    </row>
    <row r="26" spans="1:15" ht="14">
      <c r="A26" s="131"/>
      <c r="B26" s="126" t="s">
        <v>59</v>
      </c>
      <c r="C26" s="137" t="s">
        <v>378</v>
      </c>
      <c r="D26" s="121" t="s">
        <v>280</v>
      </c>
      <c r="E26" s="122">
        <v>20</v>
      </c>
      <c r="F26" s="96"/>
      <c r="G26" s="123">
        <f t="shared" si="0"/>
        <v>656.78</v>
      </c>
      <c r="I26" s="124"/>
      <c r="J26" s="125"/>
      <c r="K26" s="95"/>
      <c r="L26" s="125"/>
      <c r="M26" s="122"/>
      <c r="N26" s="95"/>
      <c r="O26" s="123"/>
    </row>
    <row r="27" spans="1:15" ht="14">
      <c r="A27" s="131"/>
      <c r="B27" s="126" t="s">
        <v>59</v>
      </c>
      <c r="C27" s="137" t="s">
        <v>380</v>
      </c>
      <c r="D27" s="121" t="s">
        <v>280</v>
      </c>
      <c r="E27" s="122">
        <v>20</v>
      </c>
      <c r="F27" s="96"/>
      <c r="G27" s="123">
        <f t="shared" si="0"/>
        <v>676.78</v>
      </c>
      <c r="I27" s="124"/>
      <c r="J27" s="125"/>
      <c r="K27" s="95"/>
      <c r="L27" s="125"/>
      <c r="M27" s="122"/>
      <c r="N27" s="95"/>
      <c r="O27" s="123"/>
    </row>
    <row r="28" spans="1:15" ht="14">
      <c r="A28" s="131"/>
      <c r="B28" s="126" t="s">
        <v>59</v>
      </c>
      <c r="C28" s="137" t="s">
        <v>384</v>
      </c>
      <c r="D28" s="121" t="s">
        <v>280</v>
      </c>
      <c r="E28" s="96">
        <v>20</v>
      </c>
      <c r="F28" s="122"/>
      <c r="G28" s="123">
        <f t="shared" si="0"/>
        <v>696.78</v>
      </c>
      <c r="I28" s="124"/>
      <c r="J28" s="125"/>
      <c r="K28" s="95"/>
      <c r="L28" s="125"/>
      <c r="M28" s="95"/>
      <c r="N28" s="122"/>
      <c r="O28" s="123"/>
    </row>
    <row r="29" spans="1:15" ht="14">
      <c r="A29" s="131"/>
      <c r="B29" s="126" t="s">
        <v>59</v>
      </c>
      <c r="C29" s="137" t="s">
        <v>386</v>
      </c>
      <c r="D29" s="121" t="s">
        <v>280</v>
      </c>
      <c r="E29" s="122">
        <v>20</v>
      </c>
      <c r="F29" s="96"/>
      <c r="G29" s="123">
        <f t="shared" si="0"/>
        <v>716.78</v>
      </c>
      <c r="I29" s="124"/>
      <c r="J29" s="125"/>
      <c r="K29" s="95"/>
      <c r="L29" s="125"/>
      <c r="M29" s="122"/>
      <c r="N29" s="95"/>
      <c r="O29" s="123"/>
    </row>
    <row r="30" spans="1:15" ht="14">
      <c r="A30" s="131"/>
      <c r="B30" s="126" t="s">
        <v>59</v>
      </c>
      <c r="C30" s="137" t="s">
        <v>388</v>
      </c>
      <c r="D30" s="121" t="s">
        <v>280</v>
      </c>
      <c r="E30" s="96">
        <v>20</v>
      </c>
      <c r="F30" s="122"/>
      <c r="G30" s="123">
        <f t="shared" si="0"/>
        <v>736.78</v>
      </c>
      <c r="I30" s="124"/>
      <c r="J30" s="125"/>
      <c r="K30" s="95"/>
      <c r="L30" s="125"/>
      <c r="M30" s="122"/>
      <c r="N30" s="95"/>
      <c r="O30" s="123"/>
    </row>
    <row r="31" spans="1:15" ht="14">
      <c r="A31" s="131"/>
      <c r="B31" s="126" t="s">
        <v>59</v>
      </c>
      <c r="C31" s="137" t="s">
        <v>273</v>
      </c>
      <c r="D31" s="121" t="s">
        <v>280</v>
      </c>
      <c r="E31" s="122">
        <v>20</v>
      </c>
      <c r="F31" s="96"/>
      <c r="G31" s="123">
        <f t="shared" si="0"/>
        <v>756.78</v>
      </c>
      <c r="I31" s="124"/>
      <c r="J31" s="125"/>
      <c r="K31" s="95"/>
      <c r="L31" s="125"/>
      <c r="M31" s="122"/>
      <c r="N31" s="95"/>
      <c r="O31" s="123"/>
    </row>
    <row r="32" spans="1:15" ht="14">
      <c r="A32" s="131"/>
      <c r="B32" s="126" t="s">
        <v>59</v>
      </c>
      <c r="C32" s="137" t="s">
        <v>268</v>
      </c>
      <c r="D32" s="121" t="s">
        <v>280</v>
      </c>
      <c r="E32" s="122">
        <v>20</v>
      </c>
      <c r="F32" s="96"/>
      <c r="G32" s="123">
        <f t="shared" si="0"/>
        <v>776.78</v>
      </c>
      <c r="I32" s="124"/>
      <c r="J32" s="125"/>
      <c r="K32" s="95"/>
      <c r="L32" s="125"/>
      <c r="M32" s="122"/>
      <c r="N32" s="95"/>
      <c r="O32" s="123"/>
    </row>
    <row r="33" spans="1:15" ht="14">
      <c r="A33" s="131"/>
      <c r="B33" s="126" t="s">
        <v>59</v>
      </c>
      <c r="C33" s="137" t="s">
        <v>390</v>
      </c>
      <c r="D33" s="121" t="s">
        <v>280</v>
      </c>
      <c r="E33" s="96">
        <v>20</v>
      </c>
      <c r="F33" s="122"/>
      <c r="G33" s="123">
        <f t="shared" si="0"/>
        <v>796.78</v>
      </c>
      <c r="I33" s="124"/>
      <c r="J33" s="125"/>
      <c r="K33" s="95"/>
      <c r="L33" s="125"/>
      <c r="M33" s="122"/>
      <c r="N33" s="95"/>
      <c r="O33" s="123"/>
    </row>
    <row r="34" spans="1:15" ht="14">
      <c r="A34" s="131"/>
      <c r="B34" s="126" t="s">
        <v>59</v>
      </c>
      <c r="C34" s="137" t="s">
        <v>282</v>
      </c>
      <c r="D34" s="121" t="s">
        <v>280</v>
      </c>
      <c r="E34" s="96">
        <v>20</v>
      </c>
      <c r="F34" s="122"/>
      <c r="G34" s="123">
        <f t="shared" si="0"/>
        <v>816.78</v>
      </c>
      <c r="I34" s="124"/>
      <c r="J34" s="125"/>
      <c r="K34" s="95"/>
      <c r="L34" s="125"/>
      <c r="M34" s="122"/>
      <c r="N34" s="95"/>
      <c r="O34" s="123"/>
    </row>
    <row r="35" spans="1:15" ht="14">
      <c r="A35" s="131"/>
      <c r="B35" s="126" t="s">
        <v>59</v>
      </c>
      <c r="C35" s="137" t="s">
        <v>286</v>
      </c>
      <c r="D35" s="121" t="s">
        <v>280</v>
      </c>
      <c r="E35" s="122">
        <v>20</v>
      </c>
      <c r="F35" s="96"/>
      <c r="G35" s="123">
        <f t="shared" si="0"/>
        <v>836.78</v>
      </c>
      <c r="I35" s="124"/>
      <c r="J35" s="125"/>
      <c r="K35" s="95"/>
      <c r="L35" s="125"/>
      <c r="M35" s="122"/>
      <c r="N35" s="95"/>
      <c r="O35" s="123"/>
    </row>
    <row r="36" spans="1:15" ht="14">
      <c r="A36" s="131"/>
      <c r="B36" s="126" t="s">
        <v>59</v>
      </c>
      <c r="C36" s="137" t="s">
        <v>419</v>
      </c>
      <c r="D36" s="121" t="s">
        <v>280</v>
      </c>
      <c r="E36" s="96">
        <v>20</v>
      </c>
      <c r="F36" s="122"/>
      <c r="G36" s="123">
        <f t="shared" si="0"/>
        <v>856.78</v>
      </c>
      <c r="I36" s="124"/>
      <c r="J36" s="125"/>
      <c r="K36" s="95"/>
      <c r="L36" s="125"/>
      <c r="M36" s="122"/>
      <c r="N36" s="95"/>
      <c r="O36" s="123"/>
    </row>
    <row r="37" spans="1:15" ht="14">
      <c r="A37" s="131"/>
      <c r="B37" s="126" t="s">
        <v>59</v>
      </c>
      <c r="C37" s="137" t="s">
        <v>244</v>
      </c>
      <c r="D37" s="121" t="s">
        <v>280</v>
      </c>
      <c r="E37" s="122">
        <v>20</v>
      </c>
      <c r="F37" s="96"/>
      <c r="G37" s="123">
        <f t="shared" si="0"/>
        <v>876.78</v>
      </c>
      <c r="I37" s="124"/>
      <c r="J37" s="125"/>
      <c r="K37" s="95"/>
      <c r="L37" s="125"/>
      <c r="M37" s="122"/>
      <c r="N37" s="95"/>
      <c r="O37" s="123"/>
    </row>
    <row r="38" spans="1:15" ht="14">
      <c r="A38" s="131"/>
      <c r="B38" s="126" t="s">
        <v>59</v>
      </c>
      <c r="C38" s="137" t="s">
        <v>395</v>
      </c>
      <c r="D38" s="121" t="s">
        <v>280</v>
      </c>
      <c r="E38" s="96">
        <v>20</v>
      </c>
      <c r="F38" s="122"/>
      <c r="G38" s="123">
        <f t="shared" si="0"/>
        <v>896.78</v>
      </c>
      <c r="I38" s="124"/>
      <c r="J38" s="125"/>
      <c r="K38" s="95"/>
      <c r="L38" s="125"/>
      <c r="M38" s="122"/>
      <c r="N38" s="95"/>
      <c r="O38" s="123"/>
    </row>
    <row r="39" spans="1:15" ht="14">
      <c r="A39" s="131"/>
      <c r="B39" s="126" t="s">
        <v>59</v>
      </c>
      <c r="C39" s="324" t="s">
        <v>397</v>
      </c>
      <c r="D39" s="121" t="s">
        <v>280</v>
      </c>
      <c r="E39" s="96">
        <v>20</v>
      </c>
      <c r="F39" s="122"/>
      <c r="G39" s="123">
        <f t="shared" si="0"/>
        <v>916.78</v>
      </c>
      <c r="I39" s="124"/>
      <c r="J39" s="125"/>
      <c r="K39" s="95"/>
      <c r="L39" s="125"/>
      <c r="M39" s="95"/>
      <c r="N39" s="122"/>
      <c r="O39" s="123"/>
    </row>
    <row r="40" spans="1:15" ht="14">
      <c r="A40" s="131"/>
      <c r="B40" s="126" t="s">
        <v>116</v>
      </c>
      <c r="C40" s="323" t="s">
        <v>347</v>
      </c>
      <c r="D40" s="121" t="s">
        <v>280</v>
      </c>
      <c r="E40" s="96">
        <v>40</v>
      </c>
      <c r="F40" s="122"/>
      <c r="G40" s="123">
        <f t="shared" si="0"/>
        <v>956.78</v>
      </c>
      <c r="I40" s="124"/>
      <c r="J40" s="125"/>
      <c r="K40" s="95"/>
      <c r="L40" s="125"/>
      <c r="M40" s="122"/>
      <c r="N40" s="95"/>
      <c r="O40" s="123"/>
    </row>
    <row r="41" spans="1:15" ht="14">
      <c r="A41" s="131"/>
      <c r="B41" s="126" t="s">
        <v>116</v>
      </c>
      <c r="C41" s="137" t="s">
        <v>349</v>
      </c>
      <c r="D41" s="121" t="s">
        <v>280</v>
      </c>
      <c r="E41" s="122">
        <v>40</v>
      </c>
      <c r="F41" s="96"/>
      <c r="G41" s="123">
        <f t="shared" si="0"/>
        <v>996.78</v>
      </c>
      <c r="I41" s="124"/>
      <c r="J41" s="125"/>
      <c r="K41" s="95"/>
      <c r="L41" s="125"/>
      <c r="M41" s="122"/>
      <c r="N41" s="95"/>
      <c r="O41" s="123"/>
    </row>
    <row r="42" spans="1:15" ht="14">
      <c r="A42" s="131"/>
      <c r="B42" s="126" t="s">
        <v>116</v>
      </c>
      <c r="C42" s="137" t="s">
        <v>244</v>
      </c>
      <c r="D42" s="121" t="s">
        <v>280</v>
      </c>
      <c r="E42" s="96">
        <v>40</v>
      </c>
      <c r="F42" s="122"/>
      <c r="G42" s="123">
        <f t="shared" si="0"/>
        <v>1036.78</v>
      </c>
      <c r="I42" s="124"/>
      <c r="J42" s="125"/>
      <c r="K42" s="95"/>
      <c r="L42" s="125"/>
      <c r="M42" s="95"/>
      <c r="N42" s="122"/>
      <c r="O42" s="123"/>
    </row>
    <row r="43" spans="1:15" ht="14">
      <c r="A43" s="131"/>
      <c r="B43" s="126" t="s">
        <v>116</v>
      </c>
      <c r="C43" s="137" t="s">
        <v>357</v>
      </c>
      <c r="D43" s="121" t="s">
        <v>280</v>
      </c>
      <c r="E43" s="96">
        <v>40</v>
      </c>
      <c r="F43" s="122"/>
      <c r="G43" s="123">
        <f t="shared" si="0"/>
        <v>1076.78</v>
      </c>
      <c r="I43" s="124"/>
      <c r="J43" s="125"/>
      <c r="K43" s="95"/>
      <c r="L43" s="125"/>
      <c r="M43" s="95"/>
      <c r="N43" s="122"/>
      <c r="O43" s="123"/>
    </row>
    <row r="44" spans="1:15" ht="14">
      <c r="A44" s="131"/>
      <c r="B44" s="126" t="s">
        <v>116</v>
      </c>
      <c r="C44" s="137" t="s">
        <v>287</v>
      </c>
      <c r="D44" s="121" t="s">
        <v>280</v>
      </c>
      <c r="E44" s="96">
        <v>40</v>
      </c>
      <c r="F44" s="122"/>
      <c r="G44" s="123">
        <f t="shared" si="0"/>
        <v>1116.78</v>
      </c>
      <c r="I44" s="124"/>
      <c r="J44" s="125"/>
      <c r="K44" s="95"/>
      <c r="L44" s="125"/>
      <c r="M44" s="95"/>
      <c r="N44" s="122"/>
      <c r="O44" s="123"/>
    </row>
    <row r="45" spans="1:15" ht="14">
      <c r="A45" s="131"/>
      <c r="B45" s="126" t="s">
        <v>116</v>
      </c>
      <c r="C45" s="137" t="s">
        <v>315</v>
      </c>
      <c r="D45" s="121" t="s">
        <v>280</v>
      </c>
      <c r="E45" s="96">
        <v>40</v>
      </c>
      <c r="F45" s="122"/>
      <c r="G45" s="123">
        <f t="shared" si="0"/>
        <v>1156.78</v>
      </c>
      <c r="I45" s="124"/>
      <c r="J45" s="125"/>
      <c r="K45" s="95"/>
      <c r="L45" s="125"/>
      <c r="M45" s="95"/>
      <c r="N45" s="122"/>
      <c r="O45" s="123"/>
    </row>
    <row r="46" spans="1:15" ht="14">
      <c r="A46" s="131"/>
      <c r="B46" s="126" t="s">
        <v>116</v>
      </c>
      <c r="C46" s="137" t="s">
        <v>336</v>
      </c>
      <c r="D46" s="121" t="s">
        <v>280</v>
      </c>
      <c r="E46" s="139">
        <v>40</v>
      </c>
      <c r="F46" s="139"/>
      <c r="G46" s="123">
        <f t="shared" si="0"/>
        <v>1196.78</v>
      </c>
      <c r="I46" s="124"/>
      <c r="J46" s="125"/>
      <c r="K46" s="95"/>
      <c r="L46" s="125"/>
      <c r="M46" s="95"/>
      <c r="N46" s="122"/>
      <c r="O46" s="123"/>
    </row>
    <row r="47" spans="1:15" ht="14">
      <c r="A47" s="131"/>
      <c r="B47" s="126" t="s">
        <v>116</v>
      </c>
      <c r="C47" s="137" t="s">
        <v>275</v>
      </c>
      <c r="D47" s="121" t="s">
        <v>280</v>
      </c>
      <c r="E47" s="122">
        <v>40</v>
      </c>
      <c r="F47" s="319"/>
      <c r="G47" s="123">
        <f t="shared" si="0"/>
        <v>1236.78</v>
      </c>
      <c r="I47" s="124"/>
      <c r="J47" s="125"/>
      <c r="K47" s="95"/>
      <c r="L47" s="125"/>
      <c r="M47" s="95"/>
      <c r="N47" s="122"/>
      <c r="O47" s="123"/>
    </row>
    <row r="48" spans="1:15" ht="14">
      <c r="A48" s="131"/>
      <c r="B48" s="126" t="s">
        <v>116</v>
      </c>
      <c r="C48" s="137" t="s">
        <v>314</v>
      </c>
      <c r="D48" s="121" t="s">
        <v>280</v>
      </c>
      <c r="E48" s="122">
        <v>40</v>
      </c>
      <c r="F48" s="96"/>
      <c r="G48" s="123">
        <f t="shared" si="0"/>
        <v>1276.78</v>
      </c>
      <c r="I48" s="124"/>
      <c r="J48" s="125"/>
      <c r="K48" s="95"/>
      <c r="L48" s="125"/>
      <c r="M48" s="95"/>
      <c r="N48" s="122"/>
      <c r="O48" s="123"/>
    </row>
    <row r="49" spans="1:15" ht="14">
      <c r="A49" s="131"/>
      <c r="B49" s="126" t="s">
        <v>116</v>
      </c>
      <c r="C49" s="137" t="s">
        <v>279</v>
      </c>
      <c r="D49" s="121" t="s">
        <v>280</v>
      </c>
      <c r="E49" s="122">
        <v>40</v>
      </c>
      <c r="F49" s="96"/>
      <c r="G49" s="123">
        <f t="shared" si="0"/>
        <v>1316.78</v>
      </c>
      <c r="I49" s="124"/>
      <c r="J49" s="125"/>
      <c r="K49" s="95"/>
      <c r="L49" s="125"/>
      <c r="M49" s="95"/>
      <c r="N49" s="122"/>
      <c r="O49" s="123"/>
    </row>
    <row r="50" spans="1:15" ht="14">
      <c r="A50" s="131"/>
      <c r="B50" s="126" t="s">
        <v>116</v>
      </c>
      <c r="C50" s="137" t="s">
        <v>276</v>
      </c>
      <c r="D50" s="121" t="s">
        <v>280</v>
      </c>
      <c r="E50" s="122">
        <v>40</v>
      </c>
      <c r="F50" s="319"/>
      <c r="G50" s="123">
        <f t="shared" si="0"/>
        <v>1356.78</v>
      </c>
      <c r="I50" s="124"/>
      <c r="J50" s="125"/>
      <c r="K50" s="95"/>
      <c r="L50" s="125"/>
      <c r="M50" s="95"/>
      <c r="N50" s="122"/>
      <c r="O50" s="123"/>
    </row>
    <row r="51" spans="1:15" ht="14">
      <c r="A51" s="131"/>
      <c r="B51" s="126" t="s">
        <v>116</v>
      </c>
      <c r="C51" s="137" t="s">
        <v>365</v>
      </c>
      <c r="D51" s="121" t="s">
        <v>280</v>
      </c>
      <c r="E51" s="122">
        <v>40</v>
      </c>
      <c r="F51" s="96"/>
      <c r="G51" s="123">
        <f t="shared" si="0"/>
        <v>1396.78</v>
      </c>
      <c r="I51" s="124"/>
      <c r="J51" s="125"/>
      <c r="K51" s="95"/>
      <c r="L51" s="125"/>
      <c r="M51" s="95"/>
      <c r="N51" s="122"/>
      <c r="O51" s="123"/>
    </row>
    <row r="52" spans="1:15" ht="14">
      <c r="A52" s="131"/>
      <c r="B52" s="126" t="s">
        <v>116</v>
      </c>
      <c r="C52" s="137" t="s">
        <v>288</v>
      </c>
      <c r="D52" s="121" t="s">
        <v>280</v>
      </c>
      <c r="E52" s="122">
        <v>40</v>
      </c>
      <c r="F52" s="319"/>
      <c r="G52" s="123">
        <f t="shared" si="0"/>
        <v>1436.78</v>
      </c>
      <c r="I52" s="124"/>
      <c r="J52" s="125"/>
      <c r="K52" s="95"/>
      <c r="L52" s="125"/>
      <c r="M52" s="95"/>
      <c r="N52" s="122"/>
      <c r="O52" s="123"/>
    </row>
    <row r="53" spans="1:15" ht="14">
      <c r="A53" s="131"/>
      <c r="B53" s="126" t="s">
        <v>116</v>
      </c>
      <c r="C53" s="137" t="s">
        <v>318</v>
      </c>
      <c r="D53" s="121" t="s">
        <v>280</v>
      </c>
      <c r="E53" s="122">
        <v>40</v>
      </c>
      <c r="F53" s="319"/>
      <c r="G53" s="123">
        <f t="shared" si="0"/>
        <v>1476.78</v>
      </c>
      <c r="I53" s="124"/>
      <c r="J53" s="125"/>
      <c r="K53" s="95"/>
      <c r="L53" s="125"/>
      <c r="M53" s="95"/>
      <c r="N53" s="122"/>
      <c r="O53" s="123"/>
    </row>
    <row r="54" spans="1:15" ht="14">
      <c r="A54" s="131"/>
      <c r="B54" s="126" t="s">
        <v>116</v>
      </c>
      <c r="C54" s="137" t="s">
        <v>339</v>
      </c>
      <c r="D54" s="121" t="s">
        <v>280</v>
      </c>
      <c r="E54" s="319">
        <v>40</v>
      </c>
      <c r="F54" s="122"/>
      <c r="G54" s="123">
        <f t="shared" si="0"/>
        <v>1516.78</v>
      </c>
      <c r="I54" s="124"/>
      <c r="J54" s="125"/>
      <c r="K54" s="95"/>
      <c r="L54" s="125"/>
      <c r="M54" s="95"/>
      <c r="N54" s="122"/>
      <c r="O54" s="123"/>
    </row>
    <row r="55" spans="1:15" ht="14">
      <c r="A55" s="131"/>
      <c r="B55" s="126" t="s">
        <v>116</v>
      </c>
      <c r="C55" s="137" t="s">
        <v>277</v>
      </c>
      <c r="D55" s="121" t="s">
        <v>280</v>
      </c>
      <c r="E55" s="319">
        <v>40</v>
      </c>
      <c r="F55" s="122"/>
      <c r="G55" s="123">
        <f t="shared" si="0"/>
        <v>1556.78</v>
      </c>
      <c r="I55" s="124"/>
      <c r="J55" s="125"/>
      <c r="K55" s="95"/>
      <c r="L55" s="125"/>
      <c r="M55" s="122"/>
      <c r="N55" s="95"/>
      <c r="O55" s="123"/>
    </row>
    <row r="56" spans="1:15" ht="14">
      <c r="A56" s="131"/>
      <c r="B56" s="126" t="s">
        <v>116</v>
      </c>
      <c r="C56" s="137" t="s">
        <v>267</v>
      </c>
      <c r="D56" s="121" t="s">
        <v>280</v>
      </c>
      <c r="E56" s="122">
        <v>40</v>
      </c>
      <c r="F56" s="96"/>
      <c r="G56" s="123">
        <f t="shared" si="0"/>
        <v>1596.78</v>
      </c>
      <c r="I56" s="124"/>
      <c r="J56" s="125"/>
      <c r="K56" s="95"/>
      <c r="L56" s="125"/>
      <c r="M56" s="122"/>
      <c r="N56" s="95"/>
      <c r="O56" s="123"/>
    </row>
    <row r="57" spans="1:15" ht="14">
      <c r="A57" s="131"/>
      <c r="B57" s="126" t="s">
        <v>116</v>
      </c>
      <c r="C57" s="137" t="s">
        <v>308</v>
      </c>
      <c r="D57" s="121" t="s">
        <v>280</v>
      </c>
      <c r="E57" s="319">
        <v>40</v>
      </c>
      <c r="F57" s="122"/>
      <c r="G57" s="123">
        <f t="shared" si="0"/>
        <v>1636.78</v>
      </c>
      <c r="I57" s="124"/>
      <c r="J57" s="125"/>
      <c r="K57" s="95"/>
      <c r="L57" s="125"/>
      <c r="M57" s="122"/>
      <c r="N57" s="95"/>
      <c r="O57" s="123"/>
    </row>
    <row r="58" spans="1:15" ht="14">
      <c r="A58" s="131"/>
      <c r="B58" s="126" t="s">
        <v>116</v>
      </c>
      <c r="C58" s="137" t="s">
        <v>280</v>
      </c>
      <c r="D58" s="121" t="s">
        <v>280</v>
      </c>
      <c r="E58" s="319">
        <v>40</v>
      </c>
      <c r="F58" s="122"/>
      <c r="G58" s="123">
        <f t="shared" si="0"/>
        <v>1676.78</v>
      </c>
      <c r="I58" s="124"/>
      <c r="J58" s="125"/>
      <c r="K58" s="95"/>
      <c r="L58" s="125"/>
      <c r="M58" s="122"/>
      <c r="N58" s="95"/>
      <c r="O58" s="123"/>
    </row>
    <row r="59" spans="1:15" ht="14">
      <c r="A59" s="131"/>
      <c r="B59" s="126" t="s">
        <v>116</v>
      </c>
      <c r="C59" s="137" t="s">
        <v>284</v>
      </c>
      <c r="D59" s="121" t="s">
        <v>280</v>
      </c>
      <c r="E59" s="122">
        <v>40</v>
      </c>
      <c r="F59" s="96"/>
      <c r="G59" s="123">
        <f t="shared" si="0"/>
        <v>1716.78</v>
      </c>
      <c r="H59" s="128"/>
      <c r="I59" s="124"/>
      <c r="J59" s="125"/>
      <c r="K59" s="95"/>
      <c r="L59" s="125"/>
      <c r="M59" s="122"/>
      <c r="N59" s="95"/>
      <c r="O59" s="123"/>
    </row>
    <row r="60" spans="1:15" ht="14">
      <c r="A60" s="131"/>
      <c r="B60" s="126" t="s">
        <v>116</v>
      </c>
      <c r="C60" s="137" t="s">
        <v>273</v>
      </c>
      <c r="D60" s="121" t="s">
        <v>280</v>
      </c>
      <c r="E60" s="122">
        <v>40</v>
      </c>
      <c r="F60" s="319"/>
      <c r="G60" s="123">
        <f t="shared" si="0"/>
        <v>1756.78</v>
      </c>
      <c r="H60" s="128"/>
      <c r="I60" s="124"/>
      <c r="J60" s="125"/>
      <c r="K60" s="95"/>
      <c r="L60" s="125"/>
      <c r="M60" s="122"/>
      <c r="N60" s="95"/>
      <c r="O60" s="123"/>
    </row>
    <row r="61" spans="1:15" ht="14">
      <c r="A61" s="131"/>
      <c r="B61" s="126" t="s">
        <v>116</v>
      </c>
      <c r="C61" s="137" t="s">
        <v>378</v>
      </c>
      <c r="D61" s="121" t="s">
        <v>280</v>
      </c>
      <c r="E61" s="122">
        <v>40</v>
      </c>
      <c r="F61" s="96"/>
      <c r="G61" s="123">
        <f t="shared" si="0"/>
        <v>1796.78</v>
      </c>
      <c r="H61" s="128"/>
      <c r="I61" s="124"/>
      <c r="J61" s="125"/>
      <c r="K61" s="95"/>
      <c r="L61" s="125"/>
      <c r="M61" s="122"/>
      <c r="N61" s="95"/>
      <c r="O61" s="123"/>
    </row>
    <row r="62" spans="1:15" ht="14">
      <c r="A62" s="131"/>
      <c r="B62" s="126" t="s">
        <v>116</v>
      </c>
      <c r="C62" s="137" t="s">
        <v>380</v>
      </c>
      <c r="D62" s="121" t="s">
        <v>280</v>
      </c>
      <c r="E62" s="122">
        <v>40</v>
      </c>
      <c r="F62" s="319"/>
      <c r="G62" s="123">
        <f t="shared" si="0"/>
        <v>1836.78</v>
      </c>
      <c r="H62" s="128"/>
      <c r="I62" s="124"/>
      <c r="J62" s="125"/>
      <c r="K62" s="95"/>
      <c r="L62" s="125"/>
      <c r="M62" s="122"/>
      <c r="N62" s="95"/>
      <c r="O62" s="123"/>
    </row>
    <row r="63" spans="1:15" ht="14">
      <c r="A63" s="131"/>
      <c r="B63" s="126" t="s">
        <v>116</v>
      </c>
      <c r="C63" s="137" t="s">
        <v>384</v>
      </c>
      <c r="D63" s="121" t="s">
        <v>280</v>
      </c>
      <c r="E63" s="139">
        <v>40</v>
      </c>
      <c r="F63" s="139"/>
      <c r="G63" s="123">
        <f t="shared" si="0"/>
        <v>1876.78</v>
      </c>
      <c r="H63" s="128"/>
      <c r="I63" s="124"/>
      <c r="J63" s="125"/>
      <c r="K63" s="95"/>
      <c r="L63" s="125"/>
      <c r="M63" s="122"/>
      <c r="N63" s="95"/>
      <c r="O63" s="123"/>
    </row>
    <row r="64" spans="1:15" ht="14">
      <c r="A64" s="131"/>
      <c r="B64" s="126" t="s">
        <v>116</v>
      </c>
      <c r="C64" s="137" t="s">
        <v>386</v>
      </c>
      <c r="D64" s="121" t="s">
        <v>280</v>
      </c>
      <c r="E64" s="122">
        <v>40</v>
      </c>
      <c r="F64" s="96"/>
      <c r="G64" s="123">
        <f t="shared" si="0"/>
        <v>1916.78</v>
      </c>
      <c r="H64" s="128"/>
      <c r="I64" s="124"/>
      <c r="J64" s="125"/>
      <c r="K64" s="95"/>
      <c r="L64" s="125"/>
      <c r="M64" s="122"/>
      <c r="N64" s="95"/>
      <c r="O64" s="123"/>
    </row>
    <row r="65" spans="1:15" ht="14">
      <c r="A65" s="131"/>
      <c r="B65" s="126" t="s">
        <v>116</v>
      </c>
      <c r="C65" s="137" t="s">
        <v>388</v>
      </c>
      <c r="D65" s="121" t="s">
        <v>280</v>
      </c>
      <c r="E65" s="96">
        <v>40</v>
      </c>
      <c r="F65" s="122"/>
      <c r="G65" s="123">
        <f t="shared" si="0"/>
        <v>1956.78</v>
      </c>
      <c r="H65" s="128"/>
      <c r="I65" s="124"/>
      <c r="J65" s="125"/>
      <c r="K65" s="137"/>
      <c r="L65" s="142"/>
      <c r="M65" s="139"/>
      <c r="N65" s="139"/>
      <c r="O65" s="123"/>
    </row>
    <row r="66" spans="1:15" ht="14">
      <c r="A66" s="131"/>
      <c r="B66" s="126" t="s">
        <v>116</v>
      </c>
      <c r="C66" s="137" t="s">
        <v>273</v>
      </c>
      <c r="D66" s="121" t="s">
        <v>280</v>
      </c>
      <c r="E66" s="122">
        <v>40</v>
      </c>
      <c r="F66" s="319"/>
      <c r="G66" s="123">
        <f t="shared" si="0"/>
        <v>1996.78</v>
      </c>
      <c r="H66" s="128"/>
      <c r="I66" s="143"/>
      <c r="J66" s="142"/>
      <c r="K66" s="95"/>
      <c r="L66" s="125"/>
      <c r="M66" s="122"/>
      <c r="N66" s="95"/>
      <c r="O66" s="123"/>
    </row>
    <row r="67" spans="1:15" ht="14">
      <c r="A67" s="131"/>
      <c r="B67" s="126" t="s">
        <v>116</v>
      </c>
      <c r="C67" s="137" t="s">
        <v>268</v>
      </c>
      <c r="D67" s="121" t="s">
        <v>280</v>
      </c>
      <c r="E67" s="122">
        <v>40</v>
      </c>
      <c r="F67" s="319"/>
      <c r="G67" s="123">
        <f t="shared" si="0"/>
        <v>2036.78</v>
      </c>
      <c r="H67" s="128"/>
      <c r="I67" s="124"/>
      <c r="J67" s="125"/>
      <c r="K67" s="95"/>
      <c r="L67" s="125"/>
      <c r="M67" s="122"/>
      <c r="N67" s="95"/>
      <c r="O67" s="123"/>
    </row>
    <row r="68" spans="1:15" ht="14">
      <c r="A68" s="131"/>
      <c r="B68" s="126" t="s">
        <v>116</v>
      </c>
      <c r="C68" s="137" t="s">
        <v>390</v>
      </c>
      <c r="D68" s="121" t="s">
        <v>280</v>
      </c>
      <c r="E68" s="122">
        <v>40</v>
      </c>
      <c r="F68" s="319"/>
      <c r="G68" s="123">
        <f t="shared" si="0"/>
        <v>2076.7799999999997</v>
      </c>
      <c r="H68" s="128"/>
      <c r="I68" s="124"/>
      <c r="J68" s="125"/>
      <c r="K68" s="95"/>
      <c r="L68" s="125"/>
      <c r="M68" s="122"/>
      <c r="N68" s="95"/>
      <c r="O68" s="123"/>
    </row>
    <row r="69" spans="1:15" ht="14">
      <c r="A69" s="131"/>
      <c r="B69" s="126" t="s">
        <v>116</v>
      </c>
      <c r="C69" s="137" t="s">
        <v>282</v>
      </c>
      <c r="D69" s="121" t="s">
        <v>280</v>
      </c>
      <c r="E69" s="122">
        <v>40</v>
      </c>
      <c r="F69" s="96"/>
      <c r="G69" s="123">
        <f t="shared" si="0"/>
        <v>2116.7799999999997</v>
      </c>
      <c r="H69" s="128"/>
      <c r="I69" s="124"/>
      <c r="J69" s="125"/>
      <c r="K69" s="95"/>
      <c r="L69" s="125"/>
      <c r="M69" s="122"/>
      <c r="N69" s="95"/>
      <c r="O69" s="123"/>
    </row>
    <row r="70" spans="1:15" ht="14">
      <c r="A70" s="131"/>
      <c r="B70" s="126" t="s">
        <v>116</v>
      </c>
      <c r="C70" s="137" t="s">
        <v>286</v>
      </c>
      <c r="D70" s="121" t="s">
        <v>280</v>
      </c>
      <c r="E70" s="122">
        <v>40</v>
      </c>
      <c r="F70" s="319"/>
      <c r="G70" s="123">
        <f t="shared" ref="G70:G75" si="1">G69+E70-F70</f>
        <v>2156.7799999999997</v>
      </c>
      <c r="H70" s="128"/>
      <c r="I70" s="124"/>
      <c r="J70" s="125"/>
      <c r="K70" s="95"/>
      <c r="L70" s="125"/>
      <c r="M70" s="122"/>
      <c r="N70" s="95"/>
      <c r="O70" s="123"/>
    </row>
    <row r="71" spans="1:15" ht="14">
      <c r="A71" s="131"/>
      <c r="B71" s="126" t="s">
        <v>116</v>
      </c>
      <c r="C71" s="137" t="s">
        <v>419</v>
      </c>
      <c r="D71" s="121" t="s">
        <v>280</v>
      </c>
      <c r="E71" s="122">
        <v>40</v>
      </c>
      <c r="F71" s="319"/>
      <c r="G71" s="123">
        <f t="shared" si="1"/>
        <v>2196.7799999999997</v>
      </c>
      <c r="H71" s="128"/>
      <c r="I71" s="124"/>
      <c r="J71" s="125"/>
      <c r="K71" s="95"/>
      <c r="L71" s="125"/>
      <c r="M71" s="122"/>
      <c r="N71" s="122"/>
      <c r="O71" s="123"/>
    </row>
    <row r="72" spans="1:15" ht="14">
      <c r="A72" s="131"/>
      <c r="B72" s="126" t="s">
        <v>116</v>
      </c>
      <c r="C72" s="137" t="s">
        <v>244</v>
      </c>
      <c r="D72" s="121" t="s">
        <v>280</v>
      </c>
      <c r="E72" s="122">
        <v>40</v>
      </c>
      <c r="F72" s="96"/>
      <c r="G72" s="123">
        <f t="shared" si="1"/>
        <v>2236.7799999999997</v>
      </c>
      <c r="H72" s="128"/>
      <c r="I72" s="124"/>
      <c r="J72" s="125"/>
      <c r="K72" s="95"/>
      <c r="L72" s="125"/>
      <c r="M72" s="122"/>
      <c r="N72" s="95"/>
      <c r="O72" s="123"/>
    </row>
    <row r="73" spans="1:15" ht="14">
      <c r="A73" s="131"/>
      <c r="B73" s="126" t="s">
        <v>116</v>
      </c>
      <c r="C73" s="137" t="s">
        <v>395</v>
      </c>
      <c r="D73" s="121" t="s">
        <v>280</v>
      </c>
      <c r="E73" s="122">
        <v>40</v>
      </c>
      <c r="F73" s="319"/>
      <c r="G73" s="123">
        <f t="shared" si="1"/>
        <v>2276.7799999999997</v>
      </c>
      <c r="H73" s="128"/>
      <c r="I73" s="124"/>
      <c r="J73" s="125"/>
      <c r="K73" s="95"/>
      <c r="L73" s="125"/>
      <c r="M73" s="122"/>
      <c r="N73" s="95"/>
      <c r="O73" s="123"/>
    </row>
    <row r="74" spans="1:15" ht="14">
      <c r="A74" s="131"/>
      <c r="B74" s="126" t="s">
        <v>116</v>
      </c>
      <c r="C74" s="324" t="s">
        <v>397</v>
      </c>
      <c r="D74" s="121" t="s">
        <v>280</v>
      </c>
      <c r="E74" s="122">
        <v>40</v>
      </c>
      <c r="F74" s="96"/>
      <c r="G74" s="123">
        <f t="shared" si="1"/>
        <v>2316.7799999999997</v>
      </c>
      <c r="H74" s="128"/>
      <c r="I74" s="124"/>
      <c r="J74" s="125"/>
      <c r="K74" s="95"/>
      <c r="L74" s="125"/>
      <c r="M74" s="122"/>
      <c r="N74" s="95"/>
      <c r="O74" s="123"/>
    </row>
    <row r="75" spans="1:15" ht="14">
      <c r="A75" s="131"/>
      <c r="B75" s="126"/>
      <c r="C75" s="95"/>
      <c r="D75" s="121"/>
      <c r="E75" s="122">
        <v>20</v>
      </c>
      <c r="F75" s="96"/>
      <c r="G75" s="123">
        <f t="shared" si="1"/>
        <v>2336.7799999999997</v>
      </c>
      <c r="H75" s="128"/>
      <c r="I75" s="124"/>
      <c r="J75" s="125"/>
      <c r="K75" s="95"/>
      <c r="L75" s="125"/>
      <c r="M75" s="122"/>
      <c r="N75" s="95"/>
      <c r="O75" s="123"/>
    </row>
    <row r="76" spans="1:15" ht="14">
      <c r="A76" s="131"/>
      <c r="B76" s="140"/>
      <c r="C76" s="147"/>
      <c r="D76" s="140"/>
      <c r="E76" s="148"/>
      <c r="F76" s="320"/>
      <c r="G76" s="159"/>
      <c r="H76" s="128"/>
      <c r="I76" s="124"/>
      <c r="J76" s="125"/>
      <c r="K76" s="95"/>
      <c r="L76" s="125"/>
      <c r="M76" s="122"/>
      <c r="N76" s="95"/>
      <c r="O76" s="123"/>
    </row>
    <row r="77" spans="1:15" ht="14">
      <c r="A77" s="131"/>
      <c r="B77" s="132"/>
      <c r="C77" s="128"/>
      <c r="D77" s="132"/>
      <c r="E77" s="387" t="s">
        <v>193</v>
      </c>
      <c r="F77" s="387"/>
      <c r="G77" s="161">
        <f>G75</f>
        <v>2336.7799999999997</v>
      </c>
      <c r="H77" s="128"/>
      <c r="I77" s="124"/>
      <c r="J77" s="125"/>
      <c r="K77" s="95"/>
      <c r="L77" s="125"/>
      <c r="M77" s="122"/>
      <c r="N77" s="95"/>
      <c r="O77" s="123"/>
    </row>
    <row r="78" spans="1:15" ht="14">
      <c r="A78" s="131"/>
      <c r="B78" s="132"/>
      <c r="E78" s="150"/>
      <c r="F78" s="162"/>
      <c r="G78" s="163"/>
      <c r="H78" s="128"/>
      <c r="I78" s="124"/>
      <c r="J78" s="125"/>
      <c r="K78" s="95"/>
      <c r="L78" s="125"/>
      <c r="M78" s="122"/>
      <c r="N78" s="95"/>
      <c r="O78" s="123"/>
    </row>
    <row r="79" spans="1:15" ht="14">
      <c r="A79" s="131"/>
      <c r="B79" s="132"/>
      <c r="G79" s="151"/>
      <c r="H79" s="128"/>
      <c r="I79" s="124"/>
      <c r="J79" s="125"/>
      <c r="K79" s="95"/>
      <c r="L79" s="125"/>
      <c r="M79" s="122"/>
      <c r="N79" s="95"/>
      <c r="O79" s="123"/>
    </row>
    <row r="80" spans="1:15" ht="14">
      <c r="A80" s="131"/>
      <c r="B80" s="132"/>
      <c r="E80" s="150"/>
      <c r="F80" s="321"/>
      <c r="G80" s="151"/>
      <c r="H80" s="128"/>
      <c r="I80" s="124"/>
      <c r="J80" s="125"/>
      <c r="K80" s="95"/>
      <c r="L80" s="125"/>
      <c r="M80" s="122"/>
      <c r="N80" s="95"/>
      <c r="O80" s="123"/>
    </row>
    <row r="81" spans="1:15" ht="14">
      <c r="A81" s="131"/>
      <c r="B81" s="132"/>
      <c r="E81" s="150"/>
      <c r="F81" s="321"/>
      <c r="G81" s="151"/>
      <c r="H81" s="128"/>
      <c r="I81" s="124"/>
      <c r="J81" s="125"/>
      <c r="K81" s="95"/>
      <c r="L81" s="125"/>
      <c r="M81" s="122"/>
      <c r="N81" s="95"/>
      <c r="O81" s="123"/>
    </row>
    <row r="82" spans="1:15" ht="14">
      <c r="A82" s="131"/>
      <c r="B82" s="132"/>
      <c r="E82" s="129"/>
      <c r="H82" s="128"/>
      <c r="I82" s="124"/>
      <c r="J82" s="125"/>
      <c r="K82" s="95"/>
      <c r="L82" s="125"/>
      <c r="M82" s="122"/>
      <c r="N82" s="95"/>
      <c r="O82" s="123"/>
    </row>
    <row r="83" spans="1:15" ht="14">
      <c r="A83" s="131"/>
      <c r="B83" s="132"/>
      <c r="E83" s="129"/>
      <c r="F83" s="321"/>
      <c r="G83" s="151"/>
      <c r="H83" s="128"/>
      <c r="I83" s="124"/>
      <c r="J83" s="125"/>
      <c r="K83" s="95"/>
      <c r="L83" s="125"/>
      <c r="M83" s="122"/>
      <c r="N83" s="95"/>
      <c r="O83" s="123"/>
    </row>
    <row r="84" spans="1:15" ht="14">
      <c r="A84" s="131"/>
      <c r="B84" s="132"/>
      <c r="E84" s="129"/>
      <c r="F84" s="321"/>
      <c r="G84" s="164"/>
      <c r="H84" s="128"/>
      <c r="I84" s="124"/>
      <c r="J84" s="125"/>
      <c r="K84" s="95"/>
      <c r="L84" s="125"/>
      <c r="M84" s="122"/>
      <c r="N84" s="95"/>
      <c r="O84" s="123"/>
    </row>
    <row r="85" spans="1:15" ht="14">
      <c r="A85" s="131"/>
      <c r="B85" s="132"/>
      <c r="E85" s="129"/>
      <c r="F85" s="321"/>
      <c r="G85" s="151"/>
      <c r="H85" s="128"/>
      <c r="I85" s="124"/>
      <c r="J85" s="125"/>
      <c r="K85" s="95"/>
      <c r="L85" s="125"/>
      <c r="M85" s="122"/>
      <c r="N85" s="95"/>
      <c r="O85" s="123"/>
    </row>
    <row r="86" spans="1:15" ht="14">
      <c r="A86" s="131"/>
      <c r="B86" s="126"/>
      <c r="E86" s="122"/>
      <c r="F86" s="96"/>
      <c r="G86" s="123"/>
      <c r="H86" s="128"/>
      <c r="I86" s="124"/>
      <c r="J86" s="125"/>
      <c r="K86" s="95"/>
      <c r="L86" s="125"/>
      <c r="M86" s="122"/>
      <c r="N86" s="95"/>
      <c r="O86" s="123"/>
    </row>
    <row r="87" spans="1:15" ht="14">
      <c r="A87" s="131"/>
      <c r="B87" s="126"/>
      <c r="E87" s="122"/>
      <c r="F87" s="96"/>
      <c r="G87" s="123"/>
      <c r="H87" s="128"/>
      <c r="I87" s="124"/>
      <c r="J87" s="125"/>
      <c r="K87" s="95"/>
      <c r="L87" s="125"/>
      <c r="M87" s="122"/>
      <c r="N87" s="95"/>
      <c r="O87" s="123"/>
    </row>
    <row r="88" spans="1:15" ht="14">
      <c r="A88" s="131"/>
      <c r="B88" s="126"/>
      <c r="E88" s="122"/>
      <c r="F88" s="96"/>
      <c r="G88" s="123"/>
      <c r="H88" s="128"/>
      <c r="I88" s="124"/>
      <c r="J88" s="125"/>
      <c r="K88" s="95"/>
      <c r="L88" s="125"/>
      <c r="M88" s="122"/>
      <c r="N88" s="95"/>
      <c r="O88" s="123"/>
    </row>
    <row r="89" spans="1:15" ht="14">
      <c r="A89" s="131"/>
      <c r="B89" s="126"/>
      <c r="E89" s="122"/>
      <c r="F89" s="96"/>
      <c r="G89" s="123"/>
      <c r="H89" s="128"/>
      <c r="I89" s="124"/>
      <c r="J89" s="125"/>
      <c r="K89" s="95"/>
      <c r="L89" s="125"/>
      <c r="M89" s="122"/>
      <c r="N89" s="95"/>
      <c r="O89" s="123"/>
    </row>
    <row r="90" spans="1:15" ht="14">
      <c r="A90" s="131"/>
      <c r="B90" s="126"/>
      <c r="C90" s="95"/>
      <c r="D90" s="126"/>
      <c r="E90" s="122"/>
      <c r="F90" s="96"/>
      <c r="G90" s="123"/>
      <c r="H90" s="128"/>
      <c r="I90" s="124"/>
      <c r="J90" s="125"/>
      <c r="K90" s="95"/>
      <c r="L90" s="125"/>
      <c r="M90" s="122"/>
      <c r="N90" s="95"/>
      <c r="O90" s="123"/>
    </row>
    <row r="91" spans="1:15" ht="14">
      <c r="A91" s="131"/>
      <c r="B91" s="126"/>
      <c r="C91" s="95"/>
      <c r="D91" s="126"/>
      <c r="E91" s="122"/>
      <c r="F91" s="96"/>
      <c r="G91" s="123"/>
      <c r="H91" s="128"/>
      <c r="I91" s="124"/>
      <c r="J91" s="125"/>
      <c r="K91" s="95"/>
      <c r="L91" s="125"/>
      <c r="M91" s="95"/>
      <c r="N91" s="122"/>
      <c r="O91" s="123"/>
    </row>
    <row r="92" spans="1:15" ht="14">
      <c r="A92" s="131"/>
      <c r="B92" s="126"/>
      <c r="C92" s="95"/>
      <c r="D92" s="126"/>
      <c r="E92" s="122"/>
      <c r="F92" s="96"/>
      <c r="G92" s="123"/>
      <c r="H92" s="128"/>
      <c r="I92" s="124"/>
      <c r="J92" s="125"/>
      <c r="K92" s="120"/>
      <c r="L92" s="120"/>
      <c r="M92" s="122"/>
      <c r="N92" s="122"/>
      <c r="O92" s="123"/>
    </row>
    <row r="93" spans="1:15" ht="14">
      <c r="A93" s="131"/>
      <c r="B93" s="126"/>
      <c r="C93" s="95"/>
      <c r="D93" s="126"/>
      <c r="E93" s="122"/>
      <c r="F93" s="96"/>
      <c r="G93" s="123"/>
      <c r="H93" s="128"/>
      <c r="I93" s="144"/>
      <c r="J93" s="145"/>
      <c r="K93" s="95"/>
      <c r="L93" s="125"/>
      <c r="M93" s="95"/>
      <c r="N93" s="122"/>
      <c r="O93" s="123"/>
    </row>
    <row r="94" spans="1:15" ht="14">
      <c r="A94" s="131"/>
      <c r="B94" s="126"/>
      <c r="C94" s="95"/>
      <c r="D94" s="126"/>
      <c r="E94" s="122"/>
      <c r="F94" s="96"/>
      <c r="G94" s="123"/>
      <c r="H94" s="128"/>
      <c r="I94" s="124"/>
      <c r="J94" s="125"/>
      <c r="K94" s="120"/>
      <c r="L94" s="125"/>
      <c r="M94" s="122"/>
      <c r="N94" s="127"/>
      <c r="O94" s="123"/>
    </row>
    <row r="95" spans="1:15" ht="14">
      <c r="A95" s="131"/>
      <c r="B95" s="126"/>
      <c r="C95" s="95"/>
      <c r="D95" s="126"/>
      <c r="E95" s="122"/>
      <c r="F95" s="96"/>
      <c r="G95" s="123"/>
      <c r="H95" s="128"/>
      <c r="I95" s="144"/>
      <c r="J95" s="125"/>
      <c r="K95" s="95"/>
      <c r="L95" s="125"/>
      <c r="M95" s="95"/>
      <c r="N95" s="122"/>
      <c r="O95" s="123"/>
    </row>
    <row r="96" spans="1:15" ht="14">
      <c r="A96" s="131"/>
      <c r="B96" s="138"/>
      <c r="C96" s="137"/>
      <c r="D96" s="138"/>
      <c r="E96" s="139"/>
      <c r="F96" s="139"/>
      <c r="G96" s="123"/>
      <c r="H96" s="128"/>
      <c r="I96" s="124"/>
      <c r="J96" s="125"/>
      <c r="K96" s="137"/>
      <c r="L96" s="142"/>
      <c r="M96" s="139"/>
      <c r="N96" s="139"/>
      <c r="O96" s="123"/>
    </row>
    <row r="97" spans="1:15" ht="14">
      <c r="A97" s="131"/>
      <c r="B97" s="126"/>
      <c r="C97" s="95"/>
      <c r="D97" s="126"/>
      <c r="E97" s="122"/>
      <c r="F97" s="96"/>
      <c r="G97" s="123"/>
      <c r="H97" s="128"/>
      <c r="I97" s="143"/>
      <c r="J97" s="142"/>
      <c r="K97" s="95"/>
      <c r="L97" s="125"/>
      <c r="M97" s="95"/>
      <c r="N97" s="122"/>
      <c r="O97" s="123"/>
    </row>
    <row r="98" spans="1:15" ht="14">
      <c r="A98" s="131"/>
      <c r="B98" s="126"/>
      <c r="C98" s="95"/>
      <c r="D98" s="126"/>
      <c r="E98" s="122"/>
      <c r="F98" s="96"/>
      <c r="G98" s="123"/>
      <c r="H98" s="128"/>
      <c r="I98" s="124"/>
      <c r="J98" s="125"/>
      <c r="K98" s="95"/>
      <c r="L98" s="125"/>
      <c r="M98" s="95"/>
      <c r="N98" s="122"/>
      <c r="O98" s="123"/>
    </row>
    <row r="99" spans="1:15" ht="14">
      <c r="A99" s="131"/>
      <c r="B99" s="126"/>
      <c r="C99" s="95"/>
      <c r="D99" s="126"/>
      <c r="E99" s="122"/>
      <c r="F99" s="96"/>
      <c r="G99" s="123"/>
      <c r="H99" s="128"/>
      <c r="I99" s="124"/>
      <c r="J99" s="125"/>
      <c r="K99" s="95"/>
      <c r="L99" s="125"/>
      <c r="M99" s="95"/>
      <c r="N99" s="122"/>
      <c r="O99" s="123"/>
    </row>
    <row r="100" spans="1:15" ht="14">
      <c r="A100" s="131"/>
      <c r="B100" s="126"/>
      <c r="C100" s="95"/>
      <c r="D100" s="126"/>
      <c r="E100" s="122"/>
      <c r="F100" s="96"/>
      <c r="G100" s="123"/>
      <c r="H100" s="128"/>
      <c r="I100" s="124"/>
      <c r="J100" s="125"/>
      <c r="K100" s="95"/>
      <c r="L100" s="125"/>
      <c r="M100" s="95"/>
      <c r="N100" s="122"/>
      <c r="O100" s="123"/>
    </row>
    <row r="101" spans="1:15" ht="14">
      <c r="A101" s="131"/>
      <c r="B101" s="126"/>
      <c r="C101" s="95"/>
      <c r="D101" s="126"/>
      <c r="E101" s="122"/>
      <c r="F101" s="96"/>
      <c r="G101" s="123"/>
      <c r="H101" s="128"/>
      <c r="I101" s="124"/>
      <c r="J101" s="125"/>
      <c r="K101" s="95"/>
      <c r="L101" s="125"/>
      <c r="M101" s="95"/>
      <c r="N101" s="122"/>
      <c r="O101" s="123"/>
    </row>
    <row r="102" spans="1:15" ht="14">
      <c r="A102" s="131"/>
      <c r="B102" s="126"/>
      <c r="C102" s="95"/>
      <c r="D102" s="126"/>
      <c r="E102" s="122"/>
      <c r="F102" s="96"/>
      <c r="G102" s="123"/>
      <c r="H102" s="128"/>
      <c r="I102" s="124"/>
      <c r="J102" s="125"/>
      <c r="K102" s="95"/>
      <c r="L102" s="95"/>
      <c r="M102" s="95"/>
      <c r="N102" s="95"/>
      <c r="O102" s="123"/>
    </row>
    <row r="103" spans="1:15" ht="14">
      <c r="A103" s="131"/>
      <c r="B103" s="126"/>
      <c r="C103" s="95"/>
      <c r="D103" s="126"/>
      <c r="E103" s="122"/>
      <c r="F103" s="122"/>
      <c r="G103" s="123"/>
      <c r="H103" s="128"/>
      <c r="I103" s="95"/>
      <c r="J103" s="95"/>
      <c r="K103" s="128"/>
      <c r="L103" s="149"/>
      <c r="M103" s="150"/>
      <c r="N103" s="130"/>
      <c r="O103" s="151"/>
    </row>
    <row r="104" spans="1:15" ht="14">
      <c r="A104" s="131"/>
      <c r="B104" s="126"/>
      <c r="C104" s="95"/>
      <c r="D104" s="126"/>
      <c r="E104" s="122"/>
      <c r="F104" s="96"/>
      <c r="G104" s="123"/>
      <c r="H104" s="128"/>
      <c r="I104" s="152"/>
      <c r="J104" s="149"/>
      <c r="L104" s="153"/>
      <c r="M104" s="107"/>
      <c r="N104" s="108"/>
      <c r="O104" s="109"/>
    </row>
    <row r="105" spans="1:15" ht="14">
      <c r="A105" s="131"/>
      <c r="B105" s="126"/>
      <c r="C105" s="95"/>
      <c r="D105" s="126"/>
      <c r="E105" s="122"/>
      <c r="F105" s="96"/>
      <c r="G105" s="123"/>
      <c r="H105" s="128"/>
      <c r="I105" s="154"/>
      <c r="J105" s="153"/>
      <c r="M105" s="155"/>
      <c r="N105" s="108"/>
      <c r="O105" s="109"/>
    </row>
    <row r="106" spans="1:15" ht="14">
      <c r="A106" s="131"/>
      <c r="B106" s="126"/>
      <c r="C106" s="95"/>
      <c r="D106" s="126"/>
      <c r="E106" s="122"/>
      <c r="F106" s="96"/>
      <c r="G106" s="123"/>
      <c r="H106" s="128"/>
      <c r="J106" s="153"/>
      <c r="L106" s="153"/>
      <c r="M106" s="107"/>
      <c r="N106" s="108"/>
      <c r="O106" s="109"/>
    </row>
    <row r="107" spans="1:15" ht="14">
      <c r="A107" s="131"/>
      <c r="B107" s="126"/>
      <c r="C107" s="95"/>
      <c r="D107" s="126"/>
      <c r="E107" s="122"/>
      <c r="F107" s="96"/>
      <c r="G107" s="123"/>
      <c r="H107" s="128"/>
      <c r="I107" s="157"/>
      <c r="M107" s="155"/>
      <c r="N107" s="108"/>
      <c r="O107" s="158"/>
    </row>
    <row r="108" spans="1:15" ht="14">
      <c r="A108" s="131"/>
      <c r="B108" s="126"/>
      <c r="C108" s="95"/>
      <c r="D108" s="126"/>
      <c r="E108" s="122"/>
      <c r="F108" s="96"/>
      <c r="G108" s="123"/>
      <c r="H108" s="128"/>
      <c r="J108" s="153"/>
      <c r="L108" s="153"/>
      <c r="M108" s="107"/>
      <c r="N108" s="108"/>
      <c r="O108" s="109"/>
    </row>
    <row r="109" spans="1:15" ht="14">
      <c r="A109" s="131"/>
      <c r="B109" s="126"/>
      <c r="C109" s="95"/>
      <c r="D109" s="126"/>
      <c r="E109" s="122"/>
      <c r="F109" s="96"/>
      <c r="G109" s="123"/>
      <c r="H109" s="128"/>
      <c r="J109" s="153"/>
      <c r="L109" s="153"/>
      <c r="M109" s="107"/>
      <c r="N109" s="108"/>
      <c r="O109" s="109"/>
    </row>
    <row r="110" spans="1:15" ht="14">
      <c r="A110" s="131"/>
      <c r="B110" s="126"/>
      <c r="C110" s="95"/>
      <c r="D110" s="126"/>
      <c r="E110" s="122"/>
      <c r="F110" s="96"/>
      <c r="G110" s="123"/>
      <c r="H110" s="128"/>
      <c r="J110" s="153"/>
      <c r="L110" s="153"/>
      <c r="M110" s="107"/>
      <c r="N110" s="108"/>
      <c r="O110" s="109"/>
    </row>
    <row r="111" spans="1:15" ht="14">
      <c r="A111" s="146"/>
      <c r="B111" s="126"/>
      <c r="C111" s="95"/>
      <c r="D111" s="126"/>
      <c r="E111" s="122"/>
      <c r="F111" s="96"/>
      <c r="G111" s="123"/>
      <c r="H111" s="128"/>
      <c r="J111" s="153"/>
      <c r="L111" s="153"/>
      <c r="M111" s="107"/>
      <c r="N111" s="108"/>
      <c r="O111" s="109"/>
    </row>
    <row r="112" spans="1:15" ht="14">
      <c r="A112" s="146"/>
      <c r="B112" s="126"/>
      <c r="C112" s="95"/>
      <c r="D112" s="126"/>
      <c r="E112" s="122"/>
      <c r="F112" s="96"/>
      <c r="G112" s="123"/>
      <c r="H112" s="128"/>
      <c r="J112" s="153"/>
      <c r="L112" s="153"/>
      <c r="M112" s="107"/>
      <c r="N112" s="108"/>
      <c r="O112" s="109"/>
    </row>
    <row r="113" spans="1:15" ht="14">
      <c r="A113" s="146"/>
      <c r="B113" s="126"/>
      <c r="C113" s="95"/>
      <c r="D113" s="126"/>
      <c r="E113" s="122"/>
      <c r="F113" s="96"/>
      <c r="G113" s="123"/>
      <c r="H113" s="128"/>
      <c r="J113" s="153"/>
      <c r="L113" s="153"/>
      <c r="M113" s="107"/>
      <c r="N113" s="108"/>
      <c r="O113" s="109"/>
    </row>
    <row r="114" spans="1:15" ht="14">
      <c r="A114" s="146"/>
      <c r="B114" s="126"/>
      <c r="C114" s="95"/>
      <c r="D114" s="126"/>
      <c r="E114" s="122"/>
      <c r="F114" s="96"/>
      <c r="G114" s="123"/>
      <c r="H114" s="128"/>
      <c r="J114" s="153"/>
      <c r="L114" s="153"/>
      <c r="M114" s="107"/>
      <c r="N114" s="108"/>
      <c r="O114" s="109"/>
    </row>
    <row r="115" spans="1:15" ht="14">
      <c r="A115" s="146"/>
      <c r="B115" s="126"/>
      <c r="C115" s="95"/>
      <c r="D115" s="126"/>
      <c r="E115" s="122"/>
      <c r="F115" s="96"/>
      <c r="G115" s="123"/>
      <c r="H115" s="128"/>
      <c r="J115" s="153"/>
      <c r="L115" s="153"/>
      <c r="M115" s="107"/>
      <c r="N115" s="108"/>
      <c r="O115" s="109"/>
    </row>
    <row r="116" spans="1:15" ht="14">
      <c r="A116" s="146"/>
      <c r="B116" s="126"/>
      <c r="C116" s="95"/>
      <c r="D116" s="126"/>
      <c r="E116" s="122"/>
      <c r="F116" s="96"/>
      <c r="G116" s="123"/>
      <c r="H116" s="128"/>
      <c r="J116" s="153"/>
      <c r="L116" s="153"/>
      <c r="M116" s="107"/>
      <c r="N116" s="108"/>
      <c r="O116" s="109"/>
    </row>
    <row r="117" spans="1:15" ht="14">
      <c r="A117" s="146"/>
      <c r="B117" s="126"/>
      <c r="C117" s="95"/>
      <c r="D117" s="126"/>
      <c r="E117" s="122"/>
      <c r="F117" s="96"/>
      <c r="G117" s="123"/>
      <c r="H117" s="128"/>
      <c r="J117" s="153"/>
      <c r="L117" s="153"/>
      <c r="M117" s="107"/>
      <c r="N117" s="108"/>
      <c r="O117" s="109"/>
    </row>
    <row r="118" spans="1:15" ht="14">
      <c r="A118" s="146"/>
      <c r="B118" s="126"/>
      <c r="C118" s="95"/>
      <c r="D118" s="126"/>
      <c r="E118" s="122"/>
      <c r="F118" s="96"/>
      <c r="G118" s="123"/>
      <c r="H118" s="128"/>
      <c r="J118" s="153"/>
      <c r="L118" s="153"/>
      <c r="M118" s="107"/>
      <c r="N118" s="108"/>
      <c r="O118" s="109"/>
    </row>
    <row r="119" spans="1:15" ht="14">
      <c r="A119" s="146"/>
      <c r="B119" s="126"/>
      <c r="C119" s="95"/>
      <c r="D119" s="126"/>
      <c r="E119" s="122"/>
      <c r="F119" s="96"/>
      <c r="G119" s="123"/>
      <c r="H119" s="128"/>
      <c r="J119" s="153"/>
      <c r="L119" s="153"/>
      <c r="M119" s="107"/>
      <c r="N119" s="108"/>
      <c r="O119" s="109"/>
    </row>
    <row r="120" spans="1:15" ht="14">
      <c r="A120" s="146"/>
      <c r="B120" s="126"/>
      <c r="C120" s="95"/>
      <c r="D120" s="126"/>
      <c r="E120" s="122"/>
      <c r="F120" s="96"/>
      <c r="G120" s="123"/>
      <c r="H120" s="128"/>
      <c r="J120" s="153"/>
      <c r="L120" s="153"/>
      <c r="M120" s="107"/>
      <c r="N120" s="108"/>
      <c r="O120" s="109"/>
    </row>
    <row r="121" spans="1:15" ht="14">
      <c r="A121" s="146"/>
      <c r="B121" s="126"/>
      <c r="C121" s="95"/>
      <c r="D121" s="126"/>
      <c r="E121" s="122"/>
      <c r="F121" s="96"/>
      <c r="G121" s="123"/>
      <c r="H121" s="128"/>
      <c r="J121" s="153"/>
      <c r="L121" s="153"/>
      <c r="M121" s="107"/>
      <c r="N121" s="108"/>
      <c r="O121" s="109"/>
    </row>
    <row r="122" spans="1:15" ht="14">
      <c r="A122" s="146"/>
      <c r="B122" s="165"/>
      <c r="C122" s="128"/>
      <c r="D122" s="132"/>
      <c r="E122" s="150"/>
      <c r="F122" s="321"/>
      <c r="G122" s="151"/>
      <c r="H122" s="128"/>
      <c r="J122" s="153"/>
      <c r="L122" s="153"/>
      <c r="M122" s="107"/>
      <c r="N122" s="108"/>
      <c r="O122" s="109"/>
    </row>
    <row r="123" spans="1:15" ht="14">
      <c r="A123" s="146"/>
      <c r="B123" s="165"/>
      <c r="C123" s="128"/>
      <c r="D123" s="132"/>
      <c r="E123" s="150"/>
      <c r="F123" s="321"/>
      <c r="G123" s="151"/>
      <c r="H123" s="128"/>
      <c r="J123" s="153"/>
      <c r="L123" s="153"/>
      <c r="M123" s="107"/>
      <c r="N123" s="108"/>
      <c r="O123" s="109"/>
    </row>
    <row r="124" spans="1:15" ht="14">
      <c r="A124" s="146"/>
      <c r="B124" s="165"/>
      <c r="C124" s="128"/>
      <c r="D124" s="132"/>
      <c r="E124" s="150"/>
      <c r="F124" s="321"/>
      <c r="G124" s="151"/>
      <c r="H124" s="128"/>
      <c r="J124" s="153"/>
      <c r="L124" s="153"/>
      <c r="M124" s="107"/>
      <c r="N124" s="108"/>
      <c r="O124" s="109"/>
    </row>
    <row r="125" spans="1:15" ht="14">
      <c r="A125" s="146"/>
      <c r="B125" s="165"/>
      <c r="C125" s="128"/>
      <c r="D125" s="132"/>
      <c r="E125" s="150"/>
      <c r="F125" s="321"/>
      <c r="G125" s="151"/>
      <c r="H125" s="128"/>
      <c r="J125" s="153"/>
      <c r="L125" s="153"/>
      <c r="M125" s="107"/>
      <c r="N125" s="108"/>
      <c r="O125" s="109"/>
    </row>
    <row r="126" spans="1:15" ht="14">
      <c r="A126" s="146"/>
      <c r="B126" s="165"/>
      <c r="C126" s="128"/>
      <c r="D126" s="132"/>
      <c r="E126" s="150"/>
      <c r="F126" s="321"/>
      <c r="G126" s="151"/>
      <c r="H126" s="128"/>
      <c r="I126" s="154"/>
      <c r="J126" s="153"/>
      <c r="L126" s="153"/>
      <c r="M126" s="107"/>
      <c r="N126" s="108"/>
      <c r="O126" s="109"/>
    </row>
    <row r="127" spans="1:15" ht="15" customHeight="1">
      <c r="A127" s="160"/>
      <c r="B127" s="165"/>
      <c r="C127" s="128"/>
      <c r="D127" s="132"/>
      <c r="E127" s="150"/>
      <c r="F127" s="321"/>
      <c r="G127" s="151"/>
      <c r="H127" s="128"/>
      <c r="I127" s="154"/>
      <c r="J127" s="154"/>
      <c r="L127" s="153"/>
      <c r="M127" s="107"/>
      <c r="N127" s="108"/>
      <c r="O127" s="109"/>
    </row>
    <row r="128" spans="1:15">
      <c r="A128" s="160"/>
      <c r="B128" s="165"/>
      <c r="C128" s="128"/>
      <c r="D128" s="132"/>
      <c r="E128" s="150"/>
      <c r="F128" s="321"/>
      <c r="G128" s="151"/>
      <c r="H128" s="128"/>
      <c r="I128" s="154"/>
      <c r="J128" s="154"/>
      <c r="L128" s="153"/>
      <c r="M128" s="107"/>
      <c r="N128" s="108"/>
      <c r="O128" s="109"/>
    </row>
    <row r="129" spans="1:15">
      <c r="A129" s="160"/>
      <c r="B129" s="165"/>
      <c r="C129" s="128"/>
      <c r="D129" s="132"/>
      <c r="E129" s="150"/>
      <c r="F129" s="321"/>
      <c r="G129" s="151"/>
      <c r="H129" s="128"/>
      <c r="I129" s="154"/>
      <c r="J129" s="153"/>
      <c r="L129" s="153"/>
      <c r="M129" s="107"/>
      <c r="N129" s="108"/>
      <c r="O129" s="109"/>
    </row>
    <row r="130" spans="1:15">
      <c r="A130" s="160"/>
      <c r="B130" s="165"/>
      <c r="C130" s="128"/>
      <c r="D130" s="132"/>
      <c r="E130" s="150"/>
      <c r="F130" s="321"/>
      <c r="G130" s="151"/>
      <c r="H130" s="128"/>
      <c r="I130" s="154"/>
      <c r="J130" s="153"/>
      <c r="L130" s="153"/>
      <c r="M130" s="107"/>
      <c r="N130" s="108"/>
      <c r="O130" s="109"/>
    </row>
    <row r="131" spans="1:15">
      <c r="A131" s="160"/>
      <c r="B131" s="165"/>
      <c r="C131" s="128"/>
      <c r="D131" s="132"/>
      <c r="E131" s="150"/>
      <c r="F131" s="321"/>
      <c r="G131" s="151"/>
      <c r="H131" s="128"/>
      <c r="I131" s="154"/>
      <c r="J131" s="153"/>
      <c r="L131" s="153"/>
      <c r="M131" s="107"/>
      <c r="N131" s="108"/>
      <c r="O131" s="109"/>
    </row>
    <row r="132" spans="1:15">
      <c r="A132" s="160"/>
      <c r="B132" s="165"/>
      <c r="C132" s="128"/>
      <c r="D132" s="132"/>
      <c r="E132" s="150"/>
      <c r="F132" s="321"/>
      <c r="G132" s="151"/>
      <c r="H132" s="128"/>
      <c r="I132" s="153"/>
      <c r="J132" s="153"/>
      <c r="L132" s="153"/>
      <c r="M132" s="107"/>
      <c r="N132" s="108"/>
      <c r="O132" s="109"/>
    </row>
    <row r="133" spans="1:15">
      <c r="A133" s="160"/>
      <c r="B133" s="165"/>
      <c r="C133" s="128"/>
      <c r="D133" s="132"/>
      <c r="E133" s="150"/>
      <c r="F133" s="321"/>
      <c r="G133" s="151"/>
      <c r="H133" s="128"/>
      <c r="I133" s="154"/>
      <c r="J133" s="153"/>
      <c r="L133" s="153"/>
      <c r="M133" s="107"/>
      <c r="N133" s="108"/>
      <c r="O133" s="109"/>
    </row>
    <row r="134" spans="1:15">
      <c r="A134" s="160"/>
      <c r="B134" s="165"/>
      <c r="C134" s="128"/>
      <c r="D134" s="132"/>
      <c r="E134" s="150"/>
      <c r="F134" s="321"/>
      <c r="G134" s="151"/>
      <c r="H134" s="128"/>
      <c r="I134" s="153"/>
      <c r="J134" s="153"/>
      <c r="L134" s="153"/>
      <c r="M134" s="107"/>
      <c r="N134" s="108"/>
      <c r="O134" s="109"/>
    </row>
    <row r="135" spans="1:15">
      <c r="A135" s="160"/>
      <c r="B135" s="132"/>
      <c r="C135" s="128"/>
      <c r="D135" s="132"/>
      <c r="E135" s="150"/>
      <c r="F135" s="321"/>
      <c r="G135" s="151"/>
      <c r="H135" s="128"/>
      <c r="I135" s="154"/>
      <c r="J135" s="153"/>
      <c r="M135" s="155"/>
      <c r="N135" s="108"/>
      <c r="O135" s="158"/>
    </row>
    <row r="136" spans="1:15" ht="14">
      <c r="A136" s="131"/>
      <c r="B136" s="165"/>
      <c r="C136" s="128"/>
      <c r="D136" s="132"/>
      <c r="E136" s="150"/>
      <c r="F136" s="321"/>
      <c r="G136" s="151"/>
      <c r="H136" s="128"/>
      <c r="J136" s="153"/>
      <c r="K136" s="95"/>
      <c r="L136" s="125"/>
      <c r="M136" s="122"/>
      <c r="N136" s="95"/>
      <c r="O136" s="123"/>
    </row>
    <row r="137" spans="1:15" ht="14">
      <c r="A137" s="131"/>
      <c r="B137" s="132"/>
      <c r="C137" s="128"/>
      <c r="D137" s="132"/>
      <c r="E137" s="150"/>
      <c r="F137" s="321"/>
      <c r="G137" s="151"/>
      <c r="H137" s="128"/>
      <c r="I137" s="124"/>
      <c r="J137" s="125"/>
      <c r="K137" s="95"/>
      <c r="L137" s="125"/>
      <c r="M137" s="122"/>
      <c r="N137" s="95"/>
      <c r="O137" s="123"/>
    </row>
    <row r="138" spans="1:15" ht="14">
      <c r="A138" s="131"/>
      <c r="B138" s="132"/>
      <c r="C138" s="128"/>
      <c r="D138" s="132"/>
      <c r="E138" s="150"/>
      <c r="F138" s="321"/>
      <c r="G138" s="151"/>
      <c r="H138" s="128"/>
      <c r="I138" s="124"/>
      <c r="J138" s="125"/>
      <c r="K138" s="95"/>
      <c r="L138" s="125"/>
      <c r="M138" s="95"/>
      <c r="N138" s="122"/>
      <c r="O138" s="123"/>
    </row>
    <row r="139" spans="1:15" ht="14">
      <c r="A139" s="131"/>
      <c r="B139" s="165"/>
      <c r="C139" s="128"/>
      <c r="D139" s="132"/>
      <c r="E139" s="150"/>
      <c r="F139" s="321"/>
      <c r="G139" s="151"/>
      <c r="H139" s="128"/>
      <c r="I139" s="124"/>
      <c r="J139" s="125"/>
      <c r="K139" s="95"/>
      <c r="L139" s="125"/>
      <c r="M139" s="122"/>
      <c r="N139" s="95"/>
      <c r="O139" s="123"/>
    </row>
    <row r="140" spans="1:15" ht="14">
      <c r="A140" s="131"/>
      <c r="B140" s="132"/>
      <c r="C140" s="128"/>
      <c r="D140" s="132"/>
      <c r="E140" s="150"/>
      <c r="F140" s="321"/>
      <c r="G140" s="151"/>
      <c r="H140" s="128"/>
      <c r="I140" s="124"/>
      <c r="J140" s="125"/>
      <c r="K140" s="95"/>
      <c r="L140" s="125"/>
      <c r="M140" s="122"/>
      <c r="N140" s="95"/>
      <c r="O140" s="123"/>
    </row>
    <row r="141" spans="1:15" ht="14">
      <c r="A141" s="131"/>
      <c r="B141" s="165"/>
      <c r="C141" s="128"/>
      <c r="D141" s="132"/>
      <c r="E141" s="150"/>
      <c r="F141" s="321"/>
      <c r="G141" s="151"/>
      <c r="H141" s="128"/>
      <c r="I141" s="124"/>
      <c r="J141" s="125"/>
      <c r="K141" s="95"/>
      <c r="L141" s="125"/>
      <c r="M141" s="95"/>
      <c r="N141" s="122"/>
      <c r="O141" s="123"/>
    </row>
    <row r="142" spans="1:15" ht="14">
      <c r="A142" s="131"/>
      <c r="B142" s="165"/>
      <c r="C142" s="128"/>
      <c r="D142" s="132"/>
      <c r="E142" s="150"/>
      <c r="F142" s="321"/>
      <c r="G142" s="151"/>
      <c r="H142" s="128"/>
      <c r="I142" s="124"/>
      <c r="J142" s="125"/>
      <c r="K142" s="95"/>
      <c r="L142" s="125"/>
      <c r="M142" s="95"/>
      <c r="N142" s="122"/>
      <c r="O142" s="123"/>
    </row>
    <row r="143" spans="1:15" ht="14">
      <c r="A143" s="131"/>
      <c r="B143" s="165"/>
      <c r="C143" s="128"/>
      <c r="D143" s="132"/>
      <c r="E143" s="150"/>
      <c r="F143" s="321"/>
      <c r="G143" s="151"/>
      <c r="H143" s="128"/>
      <c r="I143" s="124"/>
      <c r="J143" s="125"/>
      <c r="K143" s="95"/>
      <c r="L143" s="125"/>
      <c r="M143" s="95"/>
      <c r="N143" s="122"/>
      <c r="O143" s="123"/>
    </row>
    <row r="144" spans="1:15" ht="14">
      <c r="A144" s="131"/>
      <c r="B144" s="165"/>
      <c r="C144" s="128"/>
      <c r="D144" s="132"/>
      <c r="E144" s="150"/>
      <c r="F144" s="321"/>
      <c r="G144" s="151"/>
      <c r="H144" s="128"/>
      <c r="I144" s="124"/>
      <c r="J144" s="125"/>
      <c r="K144" s="95"/>
      <c r="L144" s="125"/>
      <c r="M144" s="122"/>
      <c r="N144" s="95"/>
      <c r="O144" s="123"/>
    </row>
    <row r="145" spans="1:15" ht="14">
      <c r="A145" s="131"/>
      <c r="B145" s="165"/>
      <c r="C145" s="128"/>
      <c r="D145" s="132"/>
      <c r="E145" s="150"/>
      <c r="F145" s="321"/>
      <c r="G145" s="151"/>
      <c r="H145" s="128"/>
      <c r="I145" s="124"/>
      <c r="J145" s="125"/>
      <c r="K145" s="95"/>
      <c r="L145" s="125"/>
      <c r="M145" s="122"/>
      <c r="N145" s="95"/>
      <c r="O145" s="123"/>
    </row>
    <row r="146" spans="1:15" ht="14">
      <c r="A146" s="141"/>
      <c r="B146" s="165"/>
      <c r="C146" s="128"/>
      <c r="D146" s="132"/>
      <c r="E146" s="150"/>
      <c r="F146" s="321"/>
      <c r="G146" s="151"/>
      <c r="H146" s="128"/>
      <c r="I146" s="124"/>
      <c r="J146" s="125"/>
      <c r="K146" s="95"/>
      <c r="L146" s="125"/>
      <c r="M146" s="122"/>
      <c r="N146" s="95"/>
      <c r="O146" s="123"/>
    </row>
    <row r="147" spans="1:15" ht="14">
      <c r="A147" s="131"/>
      <c r="B147" s="165"/>
      <c r="C147" s="128"/>
      <c r="D147" s="132"/>
      <c r="E147" s="150"/>
      <c r="F147" s="321"/>
      <c r="G147" s="151"/>
      <c r="H147" s="128"/>
      <c r="I147" s="124"/>
      <c r="J147" s="125"/>
      <c r="K147" s="95"/>
      <c r="L147" s="125"/>
      <c r="M147" s="95"/>
      <c r="N147" s="122"/>
      <c r="O147" s="123"/>
    </row>
    <row r="148" spans="1:15" ht="14">
      <c r="A148" s="131"/>
      <c r="B148" s="132"/>
      <c r="C148" s="128"/>
      <c r="D148" s="132"/>
      <c r="E148" s="150"/>
      <c r="F148" s="321"/>
      <c r="G148" s="151"/>
      <c r="H148" s="128"/>
      <c r="I148" s="124"/>
      <c r="J148" s="125"/>
      <c r="K148" s="95"/>
      <c r="L148" s="125"/>
      <c r="M148" s="95"/>
      <c r="N148" s="122"/>
      <c r="O148" s="123"/>
    </row>
    <row r="149" spans="1:15" ht="14">
      <c r="A149" s="131"/>
      <c r="B149" s="132"/>
      <c r="C149" s="128"/>
      <c r="D149" s="132"/>
      <c r="E149" s="150"/>
      <c r="F149" s="321"/>
      <c r="G149" s="151"/>
      <c r="H149" s="128"/>
      <c r="I149" s="124"/>
      <c r="J149" s="125"/>
      <c r="K149" s="95"/>
      <c r="L149" s="125"/>
      <c r="M149" s="122"/>
      <c r="N149" s="95"/>
      <c r="O149" s="123"/>
    </row>
    <row r="150" spans="1:15" ht="14">
      <c r="A150" s="131"/>
      <c r="B150" s="132"/>
      <c r="C150" s="128"/>
      <c r="D150" s="132"/>
      <c r="E150" s="150"/>
      <c r="F150" s="321"/>
      <c r="G150" s="151"/>
      <c r="H150" s="128"/>
      <c r="I150" s="124"/>
      <c r="J150" s="125"/>
      <c r="K150" s="95"/>
      <c r="L150" s="125"/>
      <c r="M150" s="122"/>
      <c r="N150" s="95"/>
      <c r="O150" s="123"/>
    </row>
    <row r="151" spans="1:15" ht="14">
      <c r="A151" s="131"/>
      <c r="B151" s="132"/>
      <c r="C151" s="128"/>
      <c r="D151" s="132"/>
      <c r="E151" s="150"/>
      <c r="F151" s="321"/>
      <c r="G151" s="151"/>
      <c r="H151" s="128"/>
      <c r="I151" s="124"/>
      <c r="J151" s="125"/>
      <c r="K151" s="95"/>
      <c r="L151" s="125"/>
      <c r="M151" s="122"/>
      <c r="N151" s="95"/>
      <c r="O151" s="123"/>
    </row>
    <row r="152" spans="1:15" ht="14">
      <c r="A152" s="131"/>
      <c r="B152" s="132"/>
      <c r="C152" s="128"/>
      <c r="D152" s="132"/>
      <c r="E152" s="150"/>
      <c r="F152" s="321"/>
      <c r="G152" s="151"/>
      <c r="H152" s="128"/>
      <c r="I152" s="124"/>
      <c r="J152" s="125"/>
      <c r="K152" s="95"/>
      <c r="L152" s="125"/>
      <c r="M152" s="122"/>
      <c r="N152" s="95"/>
      <c r="O152" s="123"/>
    </row>
    <row r="153" spans="1:15" ht="14">
      <c r="A153" s="131"/>
      <c r="B153" s="132"/>
      <c r="C153" s="128"/>
      <c r="D153" s="132"/>
      <c r="E153" s="150"/>
      <c r="F153" s="321"/>
      <c r="G153" s="151"/>
      <c r="H153" s="128"/>
      <c r="I153" s="124"/>
      <c r="J153" s="125"/>
      <c r="K153" s="95"/>
      <c r="L153" s="125"/>
      <c r="M153" s="122"/>
      <c r="N153" s="95"/>
      <c r="O153" s="123"/>
    </row>
    <row r="154" spans="1:15" ht="14">
      <c r="A154" s="131"/>
      <c r="B154" s="132"/>
      <c r="C154" s="128"/>
      <c r="D154" s="132"/>
      <c r="E154" s="150"/>
      <c r="F154" s="321"/>
      <c r="G154" s="151"/>
      <c r="H154" s="128"/>
      <c r="I154" s="124"/>
      <c r="J154" s="125"/>
      <c r="K154" s="95"/>
      <c r="L154" s="125"/>
      <c r="M154" s="122"/>
      <c r="N154" s="95"/>
      <c r="O154" s="123"/>
    </row>
    <row r="155" spans="1:15" ht="14">
      <c r="A155" s="131"/>
      <c r="B155" s="132"/>
      <c r="C155" s="128"/>
      <c r="D155" s="132"/>
      <c r="E155" s="166"/>
      <c r="F155" s="321"/>
      <c r="G155" s="151"/>
      <c r="H155" s="128"/>
      <c r="I155" s="124"/>
      <c r="J155" s="125"/>
      <c r="K155" s="95"/>
      <c r="L155" s="125"/>
      <c r="M155" s="122"/>
      <c r="N155" s="95"/>
      <c r="O155" s="123"/>
    </row>
    <row r="156" spans="1:15" ht="14">
      <c r="A156" s="131"/>
      <c r="C156" s="168"/>
      <c r="I156" s="124"/>
      <c r="J156" s="125"/>
      <c r="K156" s="95"/>
      <c r="L156" s="125"/>
      <c r="M156" s="95"/>
      <c r="N156" s="122"/>
      <c r="O156" s="123"/>
    </row>
    <row r="157" spans="1:15" ht="14">
      <c r="A157" s="131"/>
      <c r="I157" s="124"/>
      <c r="J157" s="125"/>
      <c r="K157" s="95"/>
      <c r="L157" s="125"/>
      <c r="M157" s="122"/>
      <c r="N157" s="95"/>
      <c r="O157" s="123"/>
    </row>
    <row r="158" spans="1:15" ht="14">
      <c r="A158" s="131"/>
      <c r="I158" s="124"/>
      <c r="J158" s="125"/>
      <c r="K158" s="95"/>
      <c r="L158" s="125"/>
      <c r="M158" s="122"/>
      <c r="N158" s="95"/>
      <c r="O158" s="123"/>
    </row>
    <row r="159" spans="1:15" ht="14">
      <c r="A159" s="131"/>
      <c r="E159" s="169"/>
      <c r="I159" s="124"/>
      <c r="J159" s="125"/>
      <c r="K159" s="95"/>
      <c r="L159" s="125"/>
      <c r="M159" s="122"/>
      <c r="N159" s="95"/>
      <c r="O159" s="123"/>
    </row>
    <row r="160" spans="1:15" ht="14">
      <c r="A160" s="131"/>
      <c r="I160" s="124"/>
      <c r="J160" s="125"/>
      <c r="K160" s="95"/>
      <c r="L160" s="125"/>
      <c r="M160" s="122"/>
      <c r="N160" s="95"/>
      <c r="O160" s="123"/>
    </row>
    <row r="161" spans="1:15" ht="14">
      <c r="A161" s="131"/>
      <c r="I161" s="124"/>
      <c r="J161" s="125"/>
      <c r="K161" s="95"/>
      <c r="L161" s="125"/>
      <c r="M161" s="122"/>
      <c r="N161" s="95"/>
      <c r="O161" s="123"/>
    </row>
    <row r="162" spans="1:15" ht="14">
      <c r="A162" s="131"/>
      <c r="I162" s="124"/>
      <c r="J162" s="125"/>
      <c r="K162" s="95"/>
      <c r="L162" s="125"/>
      <c r="M162" s="122"/>
      <c r="N162" s="95"/>
      <c r="O162" s="123"/>
    </row>
    <row r="163" spans="1:15" ht="14">
      <c r="A163" s="131"/>
      <c r="I163" s="124"/>
      <c r="J163" s="125"/>
      <c r="K163" s="95"/>
      <c r="L163" s="125"/>
      <c r="M163" s="122"/>
      <c r="N163" s="95"/>
      <c r="O163" s="123"/>
    </row>
    <row r="164" spans="1:15" ht="14">
      <c r="A164" s="131"/>
      <c r="I164" s="124"/>
      <c r="J164" s="125"/>
      <c r="K164" s="95"/>
      <c r="L164" s="125"/>
      <c r="M164" s="122"/>
      <c r="N164" s="95"/>
      <c r="O164" s="123"/>
    </row>
    <row r="165" spans="1:15" ht="14">
      <c r="A165" s="131"/>
      <c r="I165" s="124"/>
      <c r="J165" s="125"/>
      <c r="K165" s="95"/>
      <c r="L165" s="125"/>
      <c r="M165" s="122"/>
      <c r="N165" s="95"/>
      <c r="O165" s="123"/>
    </row>
    <row r="166" spans="1:15" ht="14">
      <c r="A166" s="131"/>
      <c r="I166" s="124"/>
      <c r="J166" s="125"/>
      <c r="K166" s="95"/>
      <c r="L166" s="125"/>
      <c r="M166" s="122"/>
      <c r="N166" s="95"/>
      <c r="O166" s="123"/>
    </row>
    <row r="167" spans="1:15" ht="14">
      <c r="A167" s="131"/>
      <c r="I167" s="124"/>
      <c r="J167" s="125"/>
      <c r="K167" s="95"/>
      <c r="L167" s="125"/>
      <c r="M167" s="122"/>
      <c r="N167" s="95"/>
      <c r="O167" s="123"/>
    </row>
    <row r="168" spans="1:15" ht="14">
      <c r="A168" s="131"/>
      <c r="I168" s="124"/>
      <c r="J168" s="125"/>
      <c r="K168" s="95"/>
      <c r="L168" s="125"/>
      <c r="M168" s="95"/>
      <c r="N168" s="122"/>
      <c r="O168" s="123"/>
    </row>
    <row r="169" spans="1:15" ht="14">
      <c r="A169" s="131"/>
      <c r="I169" s="124"/>
      <c r="J169" s="125"/>
      <c r="K169" s="95"/>
      <c r="L169" s="125"/>
      <c r="M169" s="122"/>
      <c r="N169" s="95"/>
      <c r="O169" s="123"/>
    </row>
    <row r="170" spans="1:15" ht="14">
      <c r="A170" s="131"/>
      <c r="I170" s="124"/>
      <c r="J170" s="125"/>
      <c r="K170" s="95"/>
      <c r="L170" s="125"/>
      <c r="M170" s="122"/>
      <c r="N170" s="95"/>
      <c r="O170" s="123"/>
    </row>
    <row r="171" spans="1:15" ht="14">
      <c r="A171" s="131"/>
      <c r="I171" s="124"/>
      <c r="J171" s="125"/>
    </row>
    <row r="172" spans="1:15">
      <c r="A172" s="160"/>
    </row>
    <row r="173" spans="1:15">
      <c r="A173" s="160"/>
      <c r="O173" s="155"/>
    </row>
    <row r="174" spans="1:15">
      <c r="A174" s="160"/>
    </row>
    <row r="175" spans="1:15">
      <c r="A175" s="160"/>
    </row>
    <row r="176" spans="1:15">
      <c r="A176" s="160"/>
    </row>
    <row r="177" spans="1:1">
      <c r="A177" s="160"/>
    </row>
    <row r="178" spans="1:1">
      <c r="A178" s="160"/>
    </row>
    <row r="179" spans="1:1">
      <c r="A179" s="160"/>
    </row>
    <row r="180" spans="1:1">
      <c r="A180" s="160"/>
    </row>
    <row r="181" spans="1:1">
      <c r="A181" s="160"/>
    </row>
    <row r="182" spans="1:1">
      <c r="A182" s="160"/>
    </row>
    <row r="183" spans="1:1">
      <c r="A183" s="160"/>
    </row>
    <row r="184" spans="1:1">
      <c r="A184" s="160"/>
    </row>
    <row r="185" spans="1:1">
      <c r="A185" s="160"/>
    </row>
    <row r="186" spans="1:1">
      <c r="A186" s="160"/>
    </row>
    <row r="187" spans="1:1">
      <c r="A187" s="160"/>
    </row>
    <row r="188" spans="1:1">
      <c r="A188" s="160"/>
    </row>
    <row r="189" spans="1:1">
      <c r="A189" s="160"/>
    </row>
    <row r="190" spans="1:1">
      <c r="A190" s="160"/>
    </row>
    <row r="191" spans="1:1">
      <c r="A191" s="160"/>
    </row>
    <row r="192" spans="1:1">
      <c r="A192" s="160"/>
    </row>
    <row r="193" spans="1:1">
      <c r="A193" s="160"/>
    </row>
    <row r="194" spans="1:1">
      <c r="A194" s="160"/>
    </row>
    <row r="195" spans="1:1">
      <c r="A195" s="160"/>
    </row>
    <row r="196" spans="1:1">
      <c r="A196" s="160"/>
    </row>
    <row r="197" spans="1:1">
      <c r="A197" s="160"/>
    </row>
    <row r="198" spans="1:1">
      <c r="A198" s="160"/>
    </row>
    <row r="199" spans="1:1">
      <c r="A199" s="160"/>
    </row>
    <row r="200" spans="1:1">
      <c r="A200" s="160"/>
    </row>
    <row r="201" spans="1:1">
      <c r="A201" s="160"/>
    </row>
    <row r="202" spans="1:1">
      <c r="A202" s="160"/>
    </row>
    <row r="203" spans="1:1">
      <c r="A203" s="160"/>
    </row>
    <row r="204" spans="1:1">
      <c r="A204" s="160"/>
    </row>
    <row r="205" spans="1:1">
      <c r="A205" s="160"/>
    </row>
  </sheetData>
  <sortState ref="I4:O106">
    <sortCondition ref="J4:J106"/>
  </sortState>
  <mergeCells count="3">
    <mergeCell ref="J10:K10"/>
    <mergeCell ref="J16:K16"/>
    <mergeCell ref="E77:F77"/>
  </mergeCells>
  <phoneticPr fontId="0" type="noConversion"/>
  <pageMargins left="0.5" right="0.25" top="0.75" bottom="0.75" header="0.3" footer="0.3"/>
  <pageSetup scale="72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M37"/>
  <sheetViews>
    <sheetView zoomScale="110" zoomScaleNormal="110" zoomScalePageLayoutView="110" workbookViewId="0">
      <selection activeCell="B19" sqref="B19"/>
    </sheetView>
  </sheetViews>
  <sheetFormatPr baseColWidth="10" defaultColWidth="9.1640625" defaultRowHeight="14" x14ac:dyDescent="0"/>
  <cols>
    <col min="1" max="1" width="12.6640625" style="101" bestFit="1" customWidth="1"/>
    <col min="2" max="2" width="19.5" style="98" bestFit="1" customWidth="1"/>
    <col min="3" max="3" width="36.33203125" style="73" bestFit="1" customWidth="1"/>
    <col min="4" max="4" width="10.5" style="102" customWidth="1"/>
    <col min="5" max="5" width="13.6640625" style="102" customWidth="1"/>
    <col min="6" max="6" width="11.6640625" style="103" customWidth="1"/>
    <col min="7" max="8" width="11.5" style="73" bestFit="1" customWidth="1"/>
    <col min="9" max="9" width="15" style="73" bestFit="1" customWidth="1"/>
    <col min="10" max="11" width="11.5" style="73" bestFit="1" customWidth="1"/>
    <col min="12" max="12" width="10.5" style="73" bestFit="1" customWidth="1"/>
    <col min="13" max="16384" width="9.1640625" style="73"/>
  </cols>
  <sheetData>
    <row r="1" spans="1:13" ht="32.25" customHeight="1">
      <c r="A1" s="388" t="s">
        <v>67</v>
      </c>
      <c r="B1" s="388"/>
      <c r="C1" s="69">
        <v>916718</v>
      </c>
      <c r="D1" s="70" t="s">
        <v>161</v>
      </c>
      <c r="E1" s="71"/>
      <c r="F1" s="72"/>
    </row>
    <row r="2" spans="1:13" ht="14.25" customHeight="1">
      <c r="A2" s="74"/>
      <c r="B2" s="75"/>
      <c r="C2" s="75"/>
      <c r="D2" s="76"/>
      <c r="E2" s="76"/>
      <c r="F2" s="77"/>
    </row>
    <row r="3" spans="1:13" ht="15">
      <c r="A3" s="78" t="s">
        <v>1</v>
      </c>
      <c r="B3" s="79" t="s">
        <v>58</v>
      </c>
      <c r="C3" s="80" t="s">
        <v>38</v>
      </c>
      <c r="D3" s="81" t="s">
        <v>65</v>
      </c>
      <c r="E3" s="81" t="s">
        <v>120</v>
      </c>
      <c r="F3" s="81" t="s">
        <v>66</v>
      </c>
      <c r="I3" s="82"/>
    </row>
    <row r="4" spans="1:13">
      <c r="A4" s="83"/>
      <c r="B4" s="84"/>
      <c r="C4" s="85"/>
      <c r="D4" s="86"/>
      <c r="E4" s="86"/>
      <c r="F4" s="87"/>
      <c r="H4" s="82"/>
    </row>
    <row r="5" spans="1:13">
      <c r="A5" s="88"/>
      <c r="B5" s="89"/>
      <c r="C5" s="90" t="s">
        <v>246</v>
      </c>
      <c r="D5" s="76"/>
      <c r="E5" s="76"/>
      <c r="F5" s="91">
        <v>15025.73</v>
      </c>
      <c r="G5" s="82"/>
      <c r="H5" s="82"/>
      <c r="I5" s="385" t="s">
        <v>195</v>
      </c>
      <c r="J5" s="385"/>
    </row>
    <row r="6" spans="1:13">
      <c r="A6" s="88"/>
      <c r="B6" s="92" t="s">
        <v>51</v>
      </c>
      <c r="C6" s="90" t="s">
        <v>422</v>
      </c>
      <c r="D6" s="76">
        <v>1000</v>
      </c>
      <c r="E6" s="76"/>
      <c r="F6" s="77">
        <f t="shared" ref="F6:F34" si="0">F5+D6-E6</f>
        <v>16025.73</v>
      </c>
      <c r="G6" s="82"/>
      <c r="H6" s="82"/>
      <c r="I6" s="133" t="s">
        <v>59</v>
      </c>
      <c r="J6" s="134">
        <f>SUMIF($B$4:$B$86,"Membership",$D$4:$D$86)</f>
        <v>0</v>
      </c>
    </row>
    <row r="7" spans="1:13">
      <c r="A7" s="88"/>
      <c r="B7" s="92" t="s">
        <v>51</v>
      </c>
      <c r="C7" s="331" t="s">
        <v>229</v>
      </c>
      <c r="D7" s="76">
        <v>400</v>
      </c>
      <c r="E7" s="76"/>
      <c r="F7" s="77">
        <f t="shared" si="0"/>
        <v>16425.73</v>
      </c>
      <c r="G7" s="82"/>
      <c r="H7" s="82"/>
      <c r="I7" s="133" t="s">
        <v>51</v>
      </c>
      <c r="J7" s="134">
        <f>SUMIF(B4:B34, "Sponsorship", D4:D34)</f>
        <v>6825</v>
      </c>
    </row>
    <row r="8" spans="1:13">
      <c r="A8" s="88"/>
      <c r="B8" s="89" t="s">
        <v>51</v>
      </c>
      <c r="C8" s="331" t="s">
        <v>176</v>
      </c>
      <c r="D8" s="76">
        <v>700</v>
      </c>
      <c r="E8" s="76"/>
      <c r="F8" s="77">
        <f t="shared" si="0"/>
        <v>17125.73</v>
      </c>
      <c r="G8" s="82"/>
      <c r="H8" s="82"/>
      <c r="I8" s="133" t="s">
        <v>62</v>
      </c>
      <c r="J8" s="134">
        <f>SUMIF($B$4:$B$86,"Clothing Sales",$D$4:$D$86)</f>
        <v>0</v>
      </c>
    </row>
    <row r="9" spans="1:13">
      <c r="A9" s="88"/>
      <c r="B9" s="92" t="s">
        <v>51</v>
      </c>
      <c r="C9" s="331" t="s">
        <v>225</v>
      </c>
      <c r="D9" s="76">
        <v>200</v>
      </c>
      <c r="E9" s="76"/>
      <c r="F9" s="77">
        <f t="shared" si="0"/>
        <v>17325.73</v>
      </c>
      <c r="G9" s="82"/>
      <c r="H9" s="82"/>
      <c r="I9" s="124"/>
      <c r="J9" s="135"/>
    </row>
    <row r="10" spans="1:13">
      <c r="A10" s="88"/>
      <c r="B10" s="92" t="s">
        <v>116</v>
      </c>
      <c r="C10" s="90" t="s">
        <v>316</v>
      </c>
      <c r="D10" s="76"/>
      <c r="E10" s="76">
        <v>200</v>
      </c>
      <c r="F10" s="77">
        <f t="shared" si="0"/>
        <v>17125.73</v>
      </c>
      <c r="G10" s="82"/>
      <c r="H10" s="82"/>
      <c r="I10" s="133" t="s">
        <v>62</v>
      </c>
      <c r="J10" s="134">
        <f>SUMIF(B5:B34, "Clothing", E5:E34)</f>
        <v>0</v>
      </c>
    </row>
    <row r="11" spans="1:13">
      <c r="A11" s="88"/>
      <c r="B11" s="92" t="s">
        <v>51</v>
      </c>
      <c r="C11" s="331" t="s">
        <v>423</v>
      </c>
      <c r="D11" s="76">
        <v>1000</v>
      </c>
      <c r="E11" s="76"/>
      <c r="F11" s="77">
        <f t="shared" si="0"/>
        <v>18125.73</v>
      </c>
      <c r="G11" s="82"/>
      <c r="H11" s="82"/>
    </row>
    <row r="12" spans="1:13">
      <c r="A12" s="88"/>
      <c r="B12" s="92" t="s">
        <v>51</v>
      </c>
      <c r="C12" s="331" t="s">
        <v>319</v>
      </c>
      <c r="D12" s="76">
        <v>2000</v>
      </c>
      <c r="E12" s="76"/>
      <c r="F12" s="77">
        <f t="shared" si="0"/>
        <v>20125.73</v>
      </c>
      <c r="G12" s="82"/>
      <c r="H12" s="82"/>
    </row>
    <row r="13" spans="1:13">
      <c r="A13" s="88"/>
      <c r="B13" s="92" t="s">
        <v>51</v>
      </c>
      <c r="C13" s="331" t="s">
        <v>424</v>
      </c>
      <c r="D13" s="76">
        <v>500</v>
      </c>
      <c r="E13" s="76"/>
      <c r="F13" s="77">
        <f t="shared" si="0"/>
        <v>20625.73</v>
      </c>
      <c r="G13" s="82"/>
      <c r="H13" s="82"/>
      <c r="I13" s="94"/>
      <c r="J13" s="95"/>
      <c r="K13" s="96"/>
    </row>
    <row r="14" spans="1:13">
      <c r="A14" s="88"/>
      <c r="B14" s="92" t="s">
        <v>51</v>
      </c>
      <c r="C14" s="331" t="s">
        <v>425</v>
      </c>
      <c r="D14" s="76">
        <v>150</v>
      </c>
      <c r="E14" s="76"/>
      <c r="F14" s="77">
        <f t="shared" si="0"/>
        <v>20775.73</v>
      </c>
      <c r="G14" s="82"/>
      <c r="H14" s="82"/>
      <c r="J14" s="97"/>
      <c r="K14" s="98"/>
      <c r="M14" s="82"/>
    </row>
    <row r="15" spans="1:13">
      <c r="A15" s="88"/>
      <c r="B15" s="92" t="s">
        <v>51</v>
      </c>
      <c r="C15" s="331" t="s">
        <v>426</v>
      </c>
      <c r="D15" s="76">
        <v>375</v>
      </c>
      <c r="E15" s="76"/>
      <c r="F15" s="77">
        <f t="shared" si="0"/>
        <v>21150.73</v>
      </c>
      <c r="G15" s="82"/>
      <c r="H15" s="82"/>
      <c r="J15" s="98"/>
    </row>
    <row r="16" spans="1:13">
      <c r="A16" s="88"/>
      <c r="B16" s="92" t="s">
        <v>51</v>
      </c>
      <c r="C16" s="90" t="s">
        <v>330</v>
      </c>
      <c r="D16" s="76">
        <v>500</v>
      </c>
      <c r="E16" s="76"/>
      <c r="F16" s="77">
        <f t="shared" si="0"/>
        <v>21650.73</v>
      </c>
      <c r="G16" s="82"/>
      <c r="H16" s="82"/>
    </row>
    <row r="17" spans="1:8">
      <c r="A17" s="88"/>
      <c r="B17" s="92"/>
      <c r="C17" s="90"/>
      <c r="D17" s="76"/>
      <c r="E17" s="76"/>
      <c r="F17" s="77">
        <f t="shared" si="0"/>
        <v>21650.73</v>
      </c>
      <c r="G17" s="82"/>
      <c r="H17" s="82"/>
    </row>
    <row r="18" spans="1:8">
      <c r="A18" s="88"/>
      <c r="B18" s="92"/>
      <c r="C18" s="90"/>
      <c r="D18" s="76"/>
      <c r="E18" s="76"/>
      <c r="F18" s="77">
        <f t="shared" si="0"/>
        <v>21650.73</v>
      </c>
      <c r="G18" s="82"/>
      <c r="H18" s="82"/>
    </row>
    <row r="19" spans="1:8">
      <c r="A19" s="88"/>
      <c r="B19" s="92"/>
      <c r="C19" s="90"/>
      <c r="D19" s="76"/>
      <c r="E19" s="76"/>
      <c r="F19" s="77">
        <f t="shared" si="0"/>
        <v>21650.73</v>
      </c>
      <c r="G19" s="82"/>
      <c r="H19" s="82"/>
    </row>
    <row r="20" spans="1:8">
      <c r="A20" s="88"/>
      <c r="B20" s="92"/>
      <c r="C20" s="90"/>
      <c r="D20" s="76"/>
      <c r="E20" s="76"/>
      <c r="F20" s="77">
        <f t="shared" si="0"/>
        <v>21650.73</v>
      </c>
      <c r="G20" s="82"/>
      <c r="H20" s="82"/>
    </row>
    <row r="21" spans="1:8">
      <c r="A21" s="88"/>
      <c r="B21" s="92"/>
      <c r="C21" s="90"/>
      <c r="D21" s="76"/>
      <c r="E21" s="76"/>
      <c r="F21" s="77">
        <f t="shared" si="0"/>
        <v>21650.73</v>
      </c>
      <c r="G21" s="82"/>
      <c r="H21" s="82"/>
    </row>
    <row r="22" spans="1:8">
      <c r="A22" s="88"/>
      <c r="B22" s="92"/>
      <c r="C22" s="90"/>
      <c r="D22" s="76"/>
      <c r="E22" s="76"/>
      <c r="F22" s="77">
        <f t="shared" si="0"/>
        <v>21650.73</v>
      </c>
      <c r="G22" s="82"/>
      <c r="H22" s="82"/>
    </row>
    <row r="23" spans="1:8">
      <c r="A23" s="88"/>
      <c r="B23" s="92"/>
      <c r="C23" s="90"/>
      <c r="D23" s="76"/>
      <c r="E23" s="76"/>
      <c r="F23" s="77">
        <f t="shared" si="0"/>
        <v>21650.73</v>
      </c>
      <c r="G23" s="82"/>
      <c r="H23" s="82"/>
    </row>
    <row r="24" spans="1:8">
      <c r="A24" s="88"/>
      <c r="B24" s="92"/>
      <c r="C24" s="90"/>
      <c r="D24" s="76"/>
      <c r="E24" s="76"/>
      <c r="F24" s="77">
        <f t="shared" si="0"/>
        <v>21650.73</v>
      </c>
      <c r="G24" s="82"/>
      <c r="H24" s="82"/>
    </row>
    <row r="25" spans="1:8">
      <c r="A25" s="88"/>
      <c r="B25" s="92"/>
      <c r="C25" s="90"/>
      <c r="D25" s="76"/>
      <c r="E25" s="76"/>
      <c r="F25" s="77">
        <f t="shared" si="0"/>
        <v>21650.73</v>
      </c>
      <c r="G25" s="82"/>
      <c r="H25" s="82"/>
    </row>
    <row r="26" spans="1:8">
      <c r="A26" s="88"/>
      <c r="B26" s="92"/>
      <c r="C26" s="90"/>
      <c r="D26" s="76"/>
      <c r="E26" s="76"/>
      <c r="F26" s="77">
        <f t="shared" si="0"/>
        <v>21650.73</v>
      </c>
      <c r="G26" s="82"/>
      <c r="H26" s="82"/>
    </row>
    <row r="27" spans="1:8">
      <c r="A27" s="88"/>
      <c r="B27" s="92"/>
      <c r="C27" s="90"/>
      <c r="D27" s="76"/>
      <c r="E27" s="76"/>
      <c r="F27" s="77">
        <f t="shared" si="0"/>
        <v>21650.73</v>
      </c>
      <c r="G27" s="82"/>
      <c r="H27" s="82"/>
    </row>
    <row r="28" spans="1:8">
      <c r="A28" s="88"/>
      <c r="B28" s="92"/>
      <c r="C28" s="90"/>
      <c r="D28" s="76"/>
      <c r="E28" s="76"/>
      <c r="F28" s="77">
        <f t="shared" si="0"/>
        <v>21650.73</v>
      </c>
      <c r="G28" s="82"/>
      <c r="H28" s="82"/>
    </row>
    <row r="29" spans="1:8">
      <c r="A29" s="88"/>
      <c r="B29" s="92"/>
      <c r="C29" s="90"/>
      <c r="D29" s="76"/>
      <c r="E29" s="76"/>
      <c r="F29" s="77">
        <f t="shared" si="0"/>
        <v>21650.73</v>
      </c>
      <c r="G29" s="82"/>
      <c r="H29" s="82"/>
    </row>
    <row r="30" spans="1:8">
      <c r="A30" s="88"/>
      <c r="B30" s="92"/>
      <c r="C30" s="90"/>
      <c r="D30" s="76"/>
      <c r="E30" s="76"/>
      <c r="F30" s="77">
        <f t="shared" si="0"/>
        <v>21650.73</v>
      </c>
      <c r="G30" s="82"/>
      <c r="H30" s="82"/>
    </row>
    <row r="31" spans="1:8">
      <c r="A31" s="88"/>
      <c r="B31" s="92"/>
      <c r="C31" s="90"/>
      <c r="D31" s="76"/>
      <c r="E31" s="76"/>
      <c r="F31" s="77">
        <f t="shared" si="0"/>
        <v>21650.73</v>
      </c>
      <c r="G31" s="82"/>
      <c r="H31" s="82"/>
    </row>
    <row r="32" spans="1:8">
      <c r="A32" s="88"/>
      <c r="B32" s="92"/>
      <c r="C32" s="90"/>
      <c r="D32" s="76"/>
      <c r="E32" s="76"/>
      <c r="F32" s="77">
        <f t="shared" si="0"/>
        <v>21650.73</v>
      </c>
      <c r="G32" s="82"/>
      <c r="H32" s="82"/>
    </row>
    <row r="33" spans="1:8">
      <c r="A33" s="88"/>
      <c r="B33" s="92"/>
      <c r="C33" s="90"/>
      <c r="D33" s="76"/>
      <c r="E33" s="76"/>
      <c r="F33" s="77">
        <f t="shared" si="0"/>
        <v>21650.73</v>
      </c>
      <c r="G33" s="82"/>
      <c r="H33" s="82"/>
    </row>
    <row r="34" spans="1:8">
      <c r="A34" s="88"/>
      <c r="B34" s="92"/>
      <c r="C34" s="90"/>
      <c r="D34" s="76"/>
      <c r="E34" s="76"/>
      <c r="F34" s="77">
        <f t="shared" si="0"/>
        <v>21650.73</v>
      </c>
      <c r="G34" s="82"/>
      <c r="H34" s="82"/>
    </row>
    <row r="35" spans="1:8">
      <c r="A35" s="88"/>
      <c r="B35" s="92"/>
      <c r="C35" s="90"/>
      <c r="D35" s="76"/>
      <c r="E35" s="76"/>
      <c r="F35" s="77"/>
      <c r="G35" s="82"/>
      <c r="H35" s="82"/>
    </row>
    <row r="36" spans="1:8">
      <c r="A36" s="88"/>
      <c r="B36" s="92"/>
      <c r="C36" s="90"/>
      <c r="D36" s="76"/>
      <c r="E36" s="99" t="s">
        <v>179</v>
      </c>
      <c r="F36" s="100">
        <f>F34</f>
        <v>21650.73</v>
      </c>
    </row>
    <row r="37" spans="1:8">
      <c r="A37" s="88"/>
      <c r="B37" s="92"/>
      <c r="C37" s="90"/>
      <c r="D37" s="76"/>
      <c r="E37" s="76"/>
      <c r="F37" s="77"/>
    </row>
  </sheetData>
  <sortState ref="A7:E31">
    <sortCondition ref="A7:A31"/>
  </sortState>
  <mergeCells count="2">
    <mergeCell ref="A1:B1"/>
    <mergeCell ref="I5:J5"/>
  </mergeCells>
  <phoneticPr fontId="5" type="noConversion"/>
  <pageMargins left="0.75" right="0.75" top="1" bottom="1" header="0.5" footer="0.5"/>
  <pageSetup scale="58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B26" sqref="B26"/>
    </sheetView>
  </sheetViews>
  <sheetFormatPr baseColWidth="10" defaultColWidth="9.1640625" defaultRowHeight="14" x14ac:dyDescent="0"/>
  <cols>
    <col min="1" max="1" width="13.33203125" style="177" customWidth="1"/>
    <col min="2" max="2" width="19.83203125" style="178" customWidth="1"/>
    <col min="3" max="3" width="27.33203125" style="95" customWidth="1"/>
    <col min="4" max="4" width="20.1640625" style="96" customWidth="1"/>
    <col min="5" max="5" width="14.5" style="96" bestFit="1" customWidth="1"/>
    <col min="6" max="6" width="12.6640625" style="172" bestFit="1" customWidth="1"/>
    <col min="7" max="7" width="9.1640625" style="95"/>
    <col min="8" max="8" width="19" style="95" customWidth="1"/>
    <col min="9" max="9" width="12.6640625" style="95" customWidth="1"/>
    <col min="10" max="10" width="9.1640625" style="95" customWidth="1"/>
    <col min="11" max="11" width="16.33203125" style="95" customWidth="1"/>
    <col min="12" max="12" width="14" style="95" bestFit="1" customWidth="1"/>
    <col min="13" max="14" width="13.5" style="95" bestFit="1" customWidth="1"/>
    <col min="15" max="15" width="12.6640625" style="95" bestFit="1" customWidth="1"/>
    <col min="16" max="16" width="12.33203125" style="95" bestFit="1" customWidth="1"/>
    <col min="17" max="17" width="11.5" style="95" bestFit="1" customWidth="1"/>
    <col min="18" max="18" width="11.1640625" style="95" bestFit="1" customWidth="1"/>
    <col min="19" max="19" width="12.1640625" style="95" bestFit="1" customWidth="1"/>
    <col min="20" max="16384" width="9.1640625" style="95"/>
  </cols>
  <sheetData>
    <row r="1" spans="1:9" ht="30.75" customHeight="1">
      <c r="A1" s="391" t="s">
        <v>68</v>
      </c>
      <c r="B1" s="391"/>
      <c r="C1" s="170">
        <v>441073</v>
      </c>
      <c r="D1" s="171" t="s">
        <v>69</v>
      </c>
    </row>
    <row r="2" spans="1:9" ht="30.75" customHeight="1">
      <c r="A2" s="170"/>
      <c r="B2" s="170"/>
      <c r="C2" s="170"/>
      <c r="D2" s="171"/>
    </row>
    <row r="3" spans="1:9" ht="17">
      <c r="A3" s="173" t="s">
        <v>1</v>
      </c>
      <c r="B3" s="174" t="s">
        <v>58</v>
      </c>
      <c r="C3" s="174" t="s">
        <v>38</v>
      </c>
      <c r="D3" s="175" t="s">
        <v>65</v>
      </c>
      <c r="E3" s="175" t="s">
        <v>120</v>
      </c>
      <c r="F3" s="175" t="s">
        <v>66</v>
      </c>
    </row>
    <row r="4" spans="1:9">
      <c r="F4" s="96"/>
      <c r="H4" s="392" t="s">
        <v>195</v>
      </c>
      <c r="I4" s="392"/>
    </row>
    <row r="5" spans="1:9">
      <c r="A5" s="332">
        <v>41122</v>
      </c>
      <c r="B5" s="333" t="s">
        <v>150</v>
      </c>
      <c r="C5" s="334" t="s">
        <v>112</v>
      </c>
      <c r="D5" s="335">
        <v>701.96</v>
      </c>
      <c r="E5" s="335"/>
      <c r="F5" s="330">
        <f>D5</f>
        <v>701.96</v>
      </c>
      <c r="H5" s="133" t="s">
        <v>150</v>
      </c>
      <c r="I5" s="134">
        <f>SUMIF(B5:B21, "SAFAC",D5:D21)</f>
        <v>18807.96</v>
      </c>
    </row>
    <row r="6" spans="1:9">
      <c r="A6" s="332">
        <v>41145</v>
      </c>
      <c r="B6" s="333" t="s">
        <v>197</v>
      </c>
      <c r="C6" s="334" t="s">
        <v>312</v>
      </c>
      <c r="D6" s="335"/>
      <c r="E6" s="335">
        <v>133.72999999999999</v>
      </c>
      <c r="F6" s="335">
        <f>F5+D6-E6</f>
        <v>568.23</v>
      </c>
      <c r="H6" s="133" t="s">
        <v>328</v>
      </c>
      <c r="I6" s="134">
        <f>SUMIF(B5:B21, "Donation",D5:D21)</f>
        <v>0</v>
      </c>
    </row>
    <row r="7" spans="1:9">
      <c r="A7" s="332">
        <v>41203</v>
      </c>
      <c r="B7" s="333" t="s">
        <v>197</v>
      </c>
      <c r="C7" s="334" t="s">
        <v>312</v>
      </c>
      <c r="D7" s="335"/>
      <c r="E7" s="335">
        <v>430.76</v>
      </c>
      <c r="F7" s="335">
        <f t="shared" ref="F7:F38" si="0">F6+D7-E7</f>
        <v>137.47000000000003</v>
      </c>
      <c r="H7" s="133"/>
      <c r="I7" s="134"/>
    </row>
    <row r="8" spans="1:9">
      <c r="A8" s="332">
        <v>41316</v>
      </c>
      <c r="B8" s="333" t="s">
        <v>197</v>
      </c>
      <c r="C8" s="334" t="s">
        <v>312</v>
      </c>
      <c r="D8" s="335"/>
      <c r="E8" s="335">
        <v>76.040000000000006</v>
      </c>
      <c r="F8" s="335">
        <f>F7+D20-E8</f>
        <v>61.430000000000021</v>
      </c>
      <c r="H8" s="124"/>
      <c r="I8" s="135"/>
    </row>
    <row r="9" spans="1:9">
      <c r="A9" s="338">
        <v>41323</v>
      </c>
      <c r="B9" s="339" t="s">
        <v>197</v>
      </c>
      <c r="C9" s="334" t="s">
        <v>437</v>
      </c>
      <c r="D9" s="335"/>
      <c r="E9" s="337">
        <v>287.73</v>
      </c>
      <c r="F9" s="330">
        <f>F8+D9-E9</f>
        <v>-226.3</v>
      </c>
      <c r="H9" s="124"/>
      <c r="I9" s="135"/>
    </row>
    <row r="10" spans="1:9">
      <c r="A10" s="332">
        <v>41323</v>
      </c>
      <c r="B10" s="333" t="s">
        <v>427</v>
      </c>
      <c r="C10" s="334" t="s">
        <v>428</v>
      </c>
      <c r="D10" s="335"/>
      <c r="E10" s="335">
        <v>80.290000000000006</v>
      </c>
      <c r="F10" s="330">
        <f>F9+D10-E10</f>
        <v>-306.59000000000003</v>
      </c>
      <c r="H10" s="386" t="s">
        <v>196</v>
      </c>
      <c r="I10" s="386"/>
    </row>
    <row r="11" spans="1:9">
      <c r="A11" s="332">
        <v>41340</v>
      </c>
      <c r="B11" s="333" t="s">
        <v>429</v>
      </c>
      <c r="C11" s="334" t="s">
        <v>430</v>
      </c>
      <c r="D11" s="335"/>
      <c r="E11" s="335">
        <v>86.27</v>
      </c>
      <c r="F11" s="335">
        <f t="shared" si="0"/>
        <v>-392.86</v>
      </c>
      <c r="H11" s="133" t="s">
        <v>62</v>
      </c>
      <c r="I11" s="136">
        <f>SUMIF(B5:$B$21, "Clothing", E5:$E$21)</f>
        <v>0</v>
      </c>
    </row>
    <row r="12" spans="1:9">
      <c r="A12" s="332">
        <v>41340</v>
      </c>
      <c r="B12" s="333" t="s">
        <v>73</v>
      </c>
      <c r="C12" s="334" t="s">
        <v>431</v>
      </c>
      <c r="D12" s="335"/>
      <c r="E12" s="335">
        <v>32.01</v>
      </c>
      <c r="F12" s="335">
        <f t="shared" si="0"/>
        <v>-424.87</v>
      </c>
      <c r="H12" s="133" t="s">
        <v>197</v>
      </c>
      <c r="I12" s="134">
        <f>SUMIF($B$4:$B$95,"Misc",$E$4:$E$95)</f>
        <v>928.26</v>
      </c>
    </row>
    <row r="13" spans="1:9">
      <c r="A13" s="332">
        <v>41340</v>
      </c>
      <c r="B13" s="333" t="s">
        <v>340</v>
      </c>
      <c r="C13" s="334" t="s">
        <v>432</v>
      </c>
      <c r="D13" s="335"/>
      <c r="E13" s="335">
        <v>100.17</v>
      </c>
      <c r="F13" s="335">
        <f t="shared" si="0"/>
        <v>-525.04</v>
      </c>
      <c r="H13" s="133"/>
      <c r="I13" s="134"/>
    </row>
    <row r="14" spans="1:9">
      <c r="A14" s="332">
        <v>41340</v>
      </c>
      <c r="B14" s="333" t="s">
        <v>73</v>
      </c>
      <c r="C14" s="334" t="s">
        <v>433</v>
      </c>
      <c r="D14" s="335"/>
      <c r="E14" s="335">
        <v>476.22</v>
      </c>
      <c r="F14" s="335">
        <f t="shared" si="0"/>
        <v>-1001.26</v>
      </c>
      <c r="H14" s="133" t="s">
        <v>116</v>
      </c>
      <c r="I14" s="134">
        <f>SUMIF($B$4:$B$95,"Conference",$E$4:$E$95)</f>
        <v>0</v>
      </c>
    </row>
    <row r="15" spans="1:9">
      <c r="A15" s="348">
        <v>41333</v>
      </c>
      <c r="B15" s="349" t="s">
        <v>434</v>
      </c>
      <c r="C15" s="350" t="s">
        <v>435</v>
      </c>
      <c r="D15" s="351"/>
      <c r="E15" s="351">
        <v>33.1</v>
      </c>
      <c r="F15" s="335">
        <f t="shared" si="0"/>
        <v>-1034.3599999999999</v>
      </c>
      <c r="I15" s="96"/>
    </row>
    <row r="16" spans="1:9">
      <c r="A16" s="348">
        <v>41346</v>
      </c>
      <c r="B16" s="349" t="s">
        <v>73</v>
      </c>
      <c r="C16" s="350" t="s">
        <v>433</v>
      </c>
      <c r="D16" s="351"/>
      <c r="E16" s="351">
        <v>1620.92</v>
      </c>
      <c r="F16" s="335">
        <f t="shared" si="0"/>
        <v>-2655.2799999999997</v>
      </c>
      <c r="H16" s="327" t="s">
        <v>320</v>
      </c>
      <c r="I16" s="327" t="str">
        <f>IF((SUM(I5:I6)-SUM(I11:I14))=F40,"OK", "***BAD***")</f>
        <v>***BAD***</v>
      </c>
    </row>
    <row r="17" spans="1:16">
      <c r="A17" s="332">
        <v>41359</v>
      </c>
      <c r="B17" s="333" t="s">
        <v>73</v>
      </c>
      <c r="C17" s="334" t="s">
        <v>436</v>
      </c>
      <c r="D17" s="335"/>
      <c r="E17" s="335">
        <v>65.3</v>
      </c>
      <c r="F17" s="335">
        <f>F16+D17-E17</f>
        <v>-2720.58</v>
      </c>
    </row>
    <row r="18" spans="1:16">
      <c r="A18" s="352">
        <v>41359</v>
      </c>
      <c r="B18" s="353" t="s">
        <v>73</v>
      </c>
      <c r="C18" s="354" t="s">
        <v>433</v>
      </c>
      <c r="D18" s="355"/>
      <c r="E18" s="355">
        <v>356.72</v>
      </c>
      <c r="F18" s="347">
        <f t="shared" si="0"/>
        <v>-3077.3</v>
      </c>
    </row>
    <row r="19" spans="1:16">
      <c r="A19" s="348">
        <v>41359</v>
      </c>
      <c r="B19" s="349" t="s">
        <v>73</v>
      </c>
      <c r="C19" s="350" t="s">
        <v>331</v>
      </c>
      <c r="D19" s="351"/>
      <c r="E19" s="351">
        <v>26.97</v>
      </c>
      <c r="F19" s="335">
        <f t="shared" si="0"/>
        <v>-3104.27</v>
      </c>
      <c r="H19" s="393"/>
      <c r="I19" s="393"/>
    </row>
    <row r="20" spans="1:16">
      <c r="A20" s="332">
        <v>41359</v>
      </c>
      <c r="B20" s="333" t="s">
        <v>104</v>
      </c>
      <c r="C20" s="336" t="s">
        <v>438</v>
      </c>
      <c r="D20" s="337"/>
      <c r="E20" s="335">
        <v>1031.94</v>
      </c>
      <c r="F20" s="335">
        <f t="shared" si="0"/>
        <v>-4136.21</v>
      </c>
      <c r="H20" s="239"/>
      <c r="I20" s="276"/>
    </row>
    <row r="21" spans="1:16">
      <c r="A21" s="332"/>
      <c r="B21" s="333" t="s">
        <v>150</v>
      </c>
      <c r="C21" s="334" t="s">
        <v>439</v>
      </c>
      <c r="D21" s="335">
        <v>18106</v>
      </c>
      <c r="E21" s="335"/>
      <c r="F21" s="335">
        <f t="shared" si="0"/>
        <v>13969.79</v>
      </c>
      <c r="H21" s="239"/>
      <c r="I21" s="276"/>
    </row>
    <row r="22" spans="1:16">
      <c r="A22" s="332"/>
      <c r="B22" s="333" t="s">
        <v>341</v>
      </c>
      <c r="C22" s="334" t="s">
        <v>440</v>
      </c>
      <c r="D22" s="335"/>
      <c r="E22" s="335">
        <v>2970</v>
      </c>
      <c r="F22" s="335">
        <f t="shared" si="0"/>
        <v>10999.79</v>
      </c>
      <c r="H22" s="239"/>
      <c r="I22" s="276"/>
    </row>
    <row r="23" spans="1:16">
      <c r="A23" s="332"/>
      <c r="B23" s="333" t="s">
        <v>78</v>
      </c>
      <c r="C23" s="334"/>
      <c r="D23" s="335"/>
      <c r="E23" s="335">
        <v>2400</v>
      </c>
      <c r="F23" s="335">
        <f t="shared" si="0"/>
        <v>8599.7900000000009</v>
      </c>
    </row>
    <row r="24" spans="1:16">
      <c r="A24" s="332"/>
      <c r="B24" s="333" t="s">
        <v>329</v>
      </c>
      <c r="C24" s="334"/>
      <c r="D24" s="335"/>
      <c r="E24" s="335">
        <v>3400</v>
      </c>
      <c r="F24" s="335">
        <f t="shared" si="0"/>
        <v>5199.7900000000009</v>
      </c>
      <c r="H24" s="389" t="s">
        <v>324</v>
      </c>
      <c r="I24" s="390"/>
    </row>
    <row r="25" spans="1:16">
      <c r="A25" s="332"/>
      <c r="B25" s="333" t="s">
        <v>441</v>
      </c>
      <c r="C25" s="334"/>
      <c r="D25" s="335"/>
      <c r="E25" s="335">
        <v>270</v>
      </c>
      <c r="F25" s="335">
        <f t="shared" si="0"/>
        <v>4929.7900000000009</v>
      </c>
      <c r="H25" s="325" t="s">
        <v>321</v>
      </c>
      <c r="I25" s="326" t="e">
        <f>SUMIF(#REF!, "Kim", D5:D38)</f>
        <v>#REF!</v>
      </c>
      <c r="O25" s="96"/>
    </row>
    <row r="26" spans="1:16">
      <c r="A26" s="332"/>
      <c r="B26" s="333"/>
      <c r="C26" s="334"/>
      <c r="D26" s="335"/>
      <c r="E26" s="335"/>
      <c r="F26" s="335">
        <f t="shared" si="0"/>
        <v>4929.7900000000009</v>
      </c>
      <c r="H26" s="325" t="s">
        <v>322</v>
      </c>
      <c r="I26" s="326" t="e">
        <f>SUMIF(#REF!, "Kim", E5:E38)</f>
        <v>#REF!</v>
      </c>
      <c r="O26" s="96"/>
      <c r="P26" s="96"/>
    </row>
    <row r="27" spans="1:16">
      <c r="A27" s="332"/>
      <c r="B27" s="333"/>
      <c r="C27" s="334"/>
      <c r="D27" s="335"/>
      <c r="E27" s="335"/>
      <c r="F27" s="335">
        <f t="shared" si="0"/>
        <v>4929.7900000000009</v>
      </c>
      <c r="H27" s="325" t="s">
        <v>323</v>
      </c>
      <c r="I27" s="326" t="e">
        <f>I25-I26</f>
        <v>#REF!</v>
      </c>
      <c r="P27" s="96"/>
    </row>
    <row r="28" spans="1:16">
      <c r="A28" s="332"/>
      <c r="B28" s="333"/>
      <c r="C28" s="334"/>
      <c r="D28" s="335"/>
      <c r="E28" s="335"/>
      <c r="F28" s="335">
        <f t="shared" si="0"/>
        <v>4929.7900000000009</v>
      </c>
      <c r="N28" s="96"/>
    </row>
    <row r="29" spans="1:16">
      <c r="A29" s="332"/>
      <c r="B29" s="333"/>
      <c r="C29" s="334"/>
      <c r="D29" s="335"/>
      <c r="E29" s="335"/>
      <c r="F29" s="335">
        <f t="shared" si="0"/>
        <v>4929.7900000000009</v>
      </c>
      <c r="H29" s="327" t="s">
        <v>320</v>
      </c>
      <c r="I29" s="327" t="e">
        <f>IF(F40=SUM(I22,I27),"OK","***BAD***")</f>
        <v>#REF!</v>
      </c>
      <c r="L29" s="96"/>
      <c r="P29" s="96"/>
    </row>
    <row r="30" spans="1:16">
      <c r="A30" s="332"/>
      <c r="B30" s="333"/>
      <c r="C30" s="334"/>
      <c r="D30" s="335"/>
      <c r="E30" s="335"/>
      <c r="F30" s="335">
        <f t="shared" si="0"/>
        <v>4929.7900000000009</v>
      </c>
      <c r="L30" s="96"/>
      <c r="P30" s="96"/>
    </row>
    <row r="31" spans="1:16">
      <c r="A31" s="332"/>
      <c r="B31" s="333"/>
      <c r="C31" s="334"/>
      <c r="D31" s="335"/>
      <c r="E31" s="335"/>
      <c r="F31" s="335">
        <f t="shared" si="0"/>
        <v>4929.7900000000009</v>
      </c>
    </row>
    <row r="32" spans="1:16">
      <c r="A32" s="332"/>
      <c r="B32" s="333"/>
      <c r="C32" s="334"/>
      <c r="D32" s="335"/>
      <c r="E32" s="335"/>
      <c r="F32" s="335">
        <f t="shared" si="0"/>
        <v>4929.7900000000009</v>
      </c>
    </row>
    <row r="33" spans="1:19">
      <c r="A33" s="332"/>
      <c r="B33" s="333"/>
      <c r="C33" s="334"/>
      <c r="D33" s="335"/>
      <c r="E33" s="335"/>
      <c r="F33" s="335">
        <f t="shared" si="0"/>
        <v>4929.7900000000009</v>
      </c>
    </row>
    <row r="34" spans="1:19">
      <c r="F34" s="335">
        <f t="shared" si="0"/>
        <v>4929.7900000000009</v>
      </c>
    </row>
    <row r="35" spans="1:19">
      <c r="F35" s="335">
        <f t="shared" si="0"/>
        <v>4929.7900000000009</v>
      </c>
    </row>
    <row r="36" spans="1:19">
      <c r="F36" s="335">
        <f t="shared" si="0"/>
        <v>4929.7900000000009</v>
      </c>
    </row>
    <row r="37" spans="1:19">
      <c r="F37" s="335">
        <f t="shared" si="0"/>
        <v>4929.7900000000009</v>
      </c>
    </row>
    <row r="38" spans="1:19">
      <c r="C38" s="186"/>
      <c r="F38" s="335">
        <f t="shared" si="0"/>
        <v>4929.7900000000009</v>
      </c>
    </row>
    <row r="40" spans="1:19">
      <c r="C40" s="186"/>
      <c r="E40" s="184" t="s">
        <v>179</v>
      </c>
      <c r="F40" s="185">
        <f>F38</f>
        <v>4929.7900000000009</v>
      </c>
    </row>
    <row r="42" spans="1:19">
      <c r="E42" s="122"/>
    </row>
    <row r="48" spans="1:19" s="137" customFormat="1">
      <c r="A48" s="182"/>
      <c r="B48" s="183"/>
      <c r="D48" s="179"/>
      <c r="E48" s="179"/>
      <c r="F48" s="185"/>
      <c r="K48" s="95"/>
      <c r="L48" s="95"/>
      <c r="M48" s="95"/>
      <c r="N48" s="95"/>
      <c r="O48" s="95"/>
      <c r="P48" s="95"/>
      <c r="Q48" s="95"/>
      <c r="R48" s="95"/>
      <c r="S48" s="95"/>
    </row>
    <row r="49" spans="1:19" s="137" customFormat="1">
      <c r="A49" s="182"/>
      <c r="B49" s="183"/>
      <c r="D49" s="179"/>
      <c r="E49" s="179"/>
      <c r="F49" s="185"/>
      <c r="K49" s="95"/>
      <c r="L49" s="95"/>
      <c r="M49" s="95"/>
      <c r="N49" s="95"/>
      <c r="O49" s="95"/>
      <c r="P49" s="95"/>
      <c r="Q49" s="95"/>
      <c r="R49" s="95"/>
      <c r="S49" s="95"/>
    </row>
    <row r="50" spans="1:19" s="137" customFormat="1">
      <c r="A50" s="182"/>
      <c r="B50" s="183"/>
      <c r="D50" s="179"/>
      <c r="E50" s="179"/>
      <c r="F50" s="185"/>
    </row>
    <row r="51" spans="1:19" s="137" customFormat="1">
      <c r="A51" s="182"/>
      <c r="B51" s="183"/>
      <c r="D51" s="179"/>
      <c r="E51" s="179"/>
      <c r="F51" s="185"/>
    </row>
    <row r="52" spans="1:19" s="137" customFormat="1">
      <c r="A52" s="182"/>
      <c r="B52" s="183"/>
      <c r="D52" s="179"/>
      <c r="E52" s="179"/>
      <c r="F52" s="185"/>
    </row>
    <row r="53" spans="1:19" s="137" customFormat="1">
      <c r="A53" s="182"/>
      <c r="B53" s="183"/>
      <c r="D53" s="179"/>
      <c r="E53" s="179"/>
      <c r="F53" s="185"/>
    </row>
    <row r="54" spans="1:19">
      <c r="A54" s="95"/>
      <c r="B54" s="95"/>
      <c r="D54" s="95"/>
      <c r="E54" s="95"/>
      <c r="F54" s="95"/>
    </row>
  </sheetData>
  <mergeCells count="5">
    <mergeCell ref="H24:I24"/>
    <mergeCell ref="A1:B1"/>
    <mergeCell ref="H4:I4"/>
    <mergeCell ref="H10:I10"/>
    <mergeCell ref="H19:I19"/>
  </mergeCells>
  <phoneticPr fontId="5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89"/>
  <sheetViews>
    <sheetView zoomScale="85" zoomScaleNormal="85" zoomScalePageLayoutView="85" workbookViewId="0">
      <selection activeCell="J89" sqref="J89"/>
    </sheetView>
  </sheetViews>
  <sheetFormatPr baseColWidth="10" defaultColWidth="9.1640625" defaultRowHeight="14" x14ac:dyDescent="0"/>
  <cols>
    <col min="1" max="1" width="46.5" style="95" customWidth="1"/>
    <col min="2" max="2" width="24.1640625" style="178" bestFit="1" customWidth="1"/>
    <col min="3" max="3" width="13.5" style="178" hidden="1" customWidth="1"/>
    <col min="4" max="4" width="12.83203125" style="178" hidden="1" customWidth="1"/>
    <col min="5" max="5" width="12.33203125" style="178" hidden="1" customWidth="1"/>
    <col min="6" max="6" width="14.6640625" style="178" hidden="1" customWidth="1"/>
    <col min="7" max="8" width="15.33203125" style="178" hidden="1" customWidth="1"/>
    <col min="9" max="9" width="15.33203125" style="189" customWidth="1"/>
    <col min="10" max="10" width="16.6640625" style="95" customWidth="1"/>
    <col min="11" max="11" width="15.33203125" style="95" customWidth="1"/>
    <col min="12" max="12" width="9.1640625" style="95"/>
    <col min="13" max="13" width="10.5" style="95" bestFit="1" customWidth="1"/>
    <col min="14" max="15" width="9.1640625" style="95"/>
    <col min="16" max="16" width="17.6640625" style="95" bestFit="1" customWidth="1"/>
    <col min="17" max="16384" width="9.1640625" style="95"/>
  </cols>
  <sheetData>
    <row r="1" spans="1:16" ht="19">
      <c r="A1" s="187" t="s">
        <v>41</v>
      </c>
      <c r="B1" s="188"/>
    </row>
    <row r="2" spans="1:16" ht="2.25" customHeight="1">
      <c r="A2" s="190"/>
    </row>
    <row r="3" spans="1:16" ht="2.25" customHeight="1">
      <c r="A3" s="190"/>
    </row>
    <row r="5" spans="1:16" ht="18">
      <c r="A5" s="191" t="s">
        <v>158</v>
      </c>
      <c r="B5" s="192"/>
      <c r="C5" s="192"/>
      <c r="D5" s="192"/>
      <c r="E5" s="192"/>
      <c r="F5" s="192"/>
      <c r="G5" s="192"/>
      <c r="H5" s="192"/>
      <c r="I5" s="193"/>
      <c r="J5" s="194"/>
      <c r="K5" s="192"/>
    </row>
    <row r="6" spans="1:16" ht="15">
      <c r="A6" s="195" t="s">
        <v>24</v>
      </c>
      <c r="B6" s="196" t="s">
        <v>25</v>
      </c>
      <c r="C6" s="196" t="s">
        <v>2</v>
      </c>
      <c r="D6" s="196" t="s">
        <v>3</v>
      </c>
      <c r="E6" s="196" t="s">
        <v>4</v>
      </c>
      <c r="F6" s="196" t="s">
        <v>119</v>
      </c>
      <c r="G6" s="196" t="s">
        <v>162</v>
      </c>
      <c r="H6" s="196" t="s">
        <v>209</v>
      </c>
      <c r="I6" s="197" t="s">
        <v>247</v>
      </c>
      <c r="J6" s="374" t="s">
        <v>442</v>
      </c>
      <c r="K6" s="196" t="s">
        <v>21</v>
      </c>
    </row>
    <row r="7" spans="1:16" ht="19">
      <c r="A7" s="95" t="s">
        <v>6</v>
      </c>
      <c r="C7" s="198">
        <v>500</v>
      </c>
      <c r="D7" s="198"/>
      <c r="E7" s="156"/>
      <c r="F7" s="156"/>
      <c r="G7" s="156"/>
      <c r="H7" s="156">
        <v>500</v>
      </c>
      <c r="I7" s="199"/>
      <c r="J7" s="96"/>
      <c r="K7" s="96">
        <f>SUM(C7:I7)</f>
        <v>1000</v>
      </c>
      <c r="N7" s="187"/>
      <c r="O7" s="188"/>
      <c r="P7" s="178"/>
    </row>
    <row r="8" spans="1:16">
      <c r="A8" s="137" t="s">
        <v>118</v>
      </c>
      <c r="B8" s="183" t="s">
        <v>200</v>
      </c>
      <c r="C8" s="200"/>
      <c r="D8" s="200"/>
      <c r="E8" s="201"/>
      <c r="F8" s="201">
        <v>150</v>
      </c>
      <c r="G8" s="201"/>
      <c r="H8" s="201"/>
      <c r="I8" s="202"/>
      <c r="J8" s="179"/>
      <c r="K8" s="96">
        <f t="shared" ref="K8:K49" si="0">SUM(C8:I8)</f>
        <v>150</v>
      </c>
      <c r="N8" s="190"/>
      <c r="O8" s="178"/>
      <c r="P8" s="178"/>
    </row>
    <row r="9" spans="1:16">
      <c r="A9" s="137" t="s">
        <v>238</v>
      </c>
      <c r="B9" s="183"/>
      <c r="C9" s="200"/>
      <c r="D9" s="200"/>
      <c r="E9" s="201"/>
      <c r="F9" s="201"/>
      <c r="G9" s="201"/>
      <c r="H9" s="201">
        <v>500</v>
      </c>
      <c r="I9" s="202"/>
      <c r="J9" s="179"/>
      <c r="K9" s="96">
        <f t="shared" si="0"/>
        <v>500</v>
      </c>
      <c r="N9" s="190"/>
      <c r="O9" s="178"/>
      <c r="P9" s="178"/>
    </row>
    <row r="10" spans="1:16" ht="15">
      <c r="A10" s="137" t="s">
        <v>14</v>
      </c>
      <c r="C10" s="198">
        <v>500</v>
      </c>
      <c r="D10" s="198">
        <v>500</v>
      </c>
      <c r="E10" s="156"/>
      <c r="F10" s="156">
        <v>250</v>
      </c>
      <c r="G10" s="156">
        <v>120</v>
      </c>
      <c r="H10" s="156"/>
      <c r="I10" s="199">
        <v>500</v>
      </c>
      <c r="J10" s="96"/>
      <c r="K10" s="96">
        <f t="shared" si="0"/>
        <v>1870</v>
      </c>
      <c r="N10" s="194"/>
      <c r="O10" s="192"/>
      <c r="P10" s="193"/>
    </row>
    <row r="11" spans="1:16">
      <c r="A11" s="95" t="s">
        <v>20</v>
      </c>
      <c r="B11" s="178" t="s">
        <v>201</v>
      </c>
      <c r="C11" s="198">
        <v>500</v>
      </c>
      <c r="D11" s="198"/>
      <c r="E11" s="156"/>
      <c r="F11" s="156">
        <v>500</v>
      </c>
      <c r="G11" s="156"/>
      <c r="H11" s="156"/>
      <c r="I11" s="199"/>
      <c r="J11" s="96"/>
      <c r="K11" s="96">
        <f t="shared" si="0"/>
        <v>1000</v>
      </c>
      <c r="N11" s="203"/>
      <c r="O11" s="204"/>
      <c r="P11" s="205"/>
    </row>
    <row r="12" spans="1:16">
      <c r="A12" s="95" t="s">
        <v>13</v>
      </c>
      <c r="C12" s="198"/>
      <c r="D12" s="198">
        <v>150</v>
      </c>
      <c r="J12" s="96"/>
      <c r="K12" s="96">
        <f t="shared" si="0"/>
        <v>150</v>
      </c>
      <c r="O12" s="178"/>
      <c r="P12" s="199"/>
    </row>
    <row r="13" spans="1:16">
      <c r="A13" s="95" t="s">
        <v>235</v>
      </c>
      <c r="C13" s="198"/>
      <c r="D13" s="198"/>
      <c r="H13" s="198">
        <v>250</v>
      </c>
      <c r="I13" s="291"/>
      <c r="J13" s="96"/>
      <c r="K13" s="96">
        <f t="shared" si="0"/>
        <v>250</v>
      </c>
      <c r="O13" s="178"/>
      <c r="P13" s="199"/>
    </row>
    <row r="14" spans="1:16">
      <c r="A14" s="137" t="s">
        <v>10</v>
      </c>
      <c r="B14" s="178" t="s">
        <v>184</v>
      </c>
      <c r="C14" s="198">
        <v>500</v>
      </c>
      <c r="D14" s="198">
        <v>650</v>
      </c>
      <c r="E14" s="156">
        <v>500</v>
      </c>
      <c r="F14" s="156"/>
      <c r="G14" s="156"/>
      <c r="H14" s="156"/>
      <c r="I14" s="199"/>
      <c r="J14" s="96"/>
      <c r="K14" s="96">
        <f t="shared" si="0"/>
        <v>1650</v>
      </c>
      <c r="N14" s="137"/>
      <c r="O14" s="183"/>
      <c r="P14" s="202"/>
    </row>
    <row r="15" spans="1:16">
      <c r="A15" s="95" t="s">
        <v>15</v>
      </c>
      <c r="C15" s="198"/>
      <c r="D15" s="198">
        <v>150</v>
      </c>
      <c r="E15" s="156"/>
      <c r="F15" s="156"/>
      <c r="G15" s="156"/>
      <c r="H15" s="156"/>
      <c r="I15" s="199"/>
      <c r="J15" s="96"/>
      <c r="K15" s="96">
        <f t="shared" si="0"/>
        <v>150</v>
      </c>
      <c r="N15" s="137"/>
      <c r="O15" s="178"/>
      <c r="P15" s="199"/>
    </row>
    <row r="16" spans="1:16">
      <c r="A16" s="95" t="s">
        <v>224</v>
      </c>
      <c r="C16" s="198"/>
      <c r="D16" s="198"/>
      <c r="E16" s="156"/>
      <c r="F16" s="156"/>
      <c r="G16" s="156"/>
      <c r="H16" s="156">
        <v>400</v>
      </c>
      <c r="I16" s="199"/>
      <c r="J16" s="96"/>
      <c r="K16" s="96">
        <f t="shared" si="0"/>
        <v>400</v>
      </c>
      <c r="N16" s="137"/>
      <c r="O16" s="178"/>
      <c r="P16" s="199"/>
    </row>
    <row r="17" spans="1:16">
      <c r="A17" s="95" t="s">
        <v>443</v>
      </c>
      <c r="C17" s="198"/>
      <c r="D17" s="198"/>
      <c r="E17" s="156"/>
      <c r="F17" s="156"/>
      <c r="G17" s="156"/>
      <c r="H17" s="156"/>
      <c r="I17" s="199"/>
      <c r="J17" s="96"/>
      <c r="K17" s="96">
        <v>1000</v>
      </c>
      <c r="N17" s="137"/>
      <c r="O17" s="178"/>
      <c r="P17" s="199"/>
    </row>
    <row r="18" spans="1:16">
      <c r="A18" s="95" t="s">
        <v>8</v>
      </c>
      <c r="B18" s="178" t="s">
        <v>27</v>
      </c>
      <c r="C18" s="198"/>
      <c r="D18" s="198"/>
      <c r="E18" s="156">
        <v>2000</v>
      </c>
      <c r="F18" s="156"/>
      <c r="G18" s="156"/>
      <c r="H18" s="156"/>
      <c r="I18" s="199"/>
      <c r="J18" s="96"/>
      <c r="K18" s="96">
        <f t="shared" si="0"/>
        <v>2000</v>
      </c>
      <c r="M18" s="96"/>
      <c r="N18" s="137"/>
      <c r="O18" s="178"/>
      <c r="P18" s="199"/>
    </row>
    <row r="19" spans="1:16">
      <c r="A19" s="95" t="s">
        <v>45</v>
      </c>
      <c r="C19" s="198"/>
      <c r="D19" s="198"/>
      <c r="E19" s="201"/>
      <c r="F19" s="201">
        <v>704.8</v>
      </c>
      <c r="G19" s="201"/>
      <c r="H19" s="201"/>
      <c r="I19" s="202"/>
      <c r="J19" s="96"/>
      <c r="K19" s="96">
        <f t="shared" si="0"/>
        <v>704.8</v>
      </c>
    </row>
    <row r="20" spans="1:16">
      <c r="A20" s="95" t="s">
        <v>81</v>
      </c>
      <c r="B20" s="178" t="s">
        <v>82</v>
      </c>
      <c r="C20" s="198"/>
      <c r="D20" s="198"/>
      <c r="E20" s="156"/>
      <c r="F20" s="156"/>
      <c r="G20" s="156"/>
      <c r="H20" s="156"/>
      <c r="I20" s="199"/>
      <c r="J20" s="96"/>
      <c r="K20" s="96">
        <f t="shared" si="0"/>
        <v>0</v>
      </c>
      <c r="O20" s="178"/>
      <c r="P20" s="199"/>
    </row>
    <row r="21" spans="1:16">
      <c r="A21" s="95" t="s">
        <v>167</v>
      </c>
      <c r="B21" s="178" t="s">
        <v>168</v>
      </c>
      <c r="C21" s="198"/>
      <c r="D21" s="198"/>
      <c r="E21" s="156"/>
      <c r="F21" s="156"/>
      <c r="G21" s="156">
        <v>25</v>
      </c>
      <c r="H21" s="156"/>
      <c r="I21" s="199"/>
      <c r="J21" s="96"/>
      <c r="K21" s="96">
        <f t="shared" si="0"/>
        <v>25</v>
      </c>
      <c r="O21" s="178"/>
      <c r="P21" s="199"/>
    </row>
    <row r="22" spans="1:16">
      <c r="A22" s="95" t="s">
        <v>5</v>
      </c>
      <c r="B22" s="178" t="s">
        <v>26</v>
      </c>
      <c r="C22" s="198">
        <v>150</v>
      </c>
      <c r="D22" s="198"/>
      <c r="E22" s="156"/>
      <c r="F22" s="156"/>
      <c r="G22" s="156"/>
      <c r="H22" s="156"/>
      <c r="I22" s="199"/>
      <c r="J22" s="96"/>
      <c r="K22" s="96">
        <f t="shared" si="0"/>
        <v>150</v>
      </c>
      <c r="O22" s="178"/>
      <c r="P22" s="178"/>
    </row>
    <row r="23" spans="1:16">
      <c r="A23" s="95" t="s">
        <v>317</v>
      </c>
      <c r="C23" s="198"/>
      <c r="D23" s="198"/>
      <c r="E23" s="156"/>
      <c r="F23" s="156"/>
      <c r="G23" s="156"/>
      <c r="H23" s="156"/>
      <c r="I23" s="199">
        <v>250</v>
      </c>
      <c r="J23" s="96"/>
      <c r="K23" s="96">
        <f t="shared" si="0"/>
        <v>250</v>
      </c>
      <c r="O23" s="178"/>
      <c r="P23" s="178"/>
    </row>
    <row r="24" spans="1:16">
      <c r="A24" s="95" t="s">
        <v>424</v>
      </c>
      <c r="C24" s="198"/>
      <c r="D24" s="198"/>
      <c r="E24" s="156"/>
      <c r="F24" s="156"/>
      <c r="G24" s="156"/>
      <c r="H24" s="156"/>
      <c r="I24" s="199"/>
      <c r="J24" s="96">
        <v>500</v>
      </c>
      <c r="K24" s="96"/>
      <c r="O24" s="178"/>
      <c r="P24" s="178"/>
    </row>
    <row r="25" spans="1:16">
      <c r="A25" s="95" t="s">
        <v>83</v>
      </c>
      <c r="C25" s="198"/>
      <c r="D25" s="206"/>
      <c r="E25" s="156"/>
      <c r="F25" s="156"/>
      <c r="G25" s="156"/>
      <c r="H25" s="156"/>
      <c r="I25" s="199"/>
      <c r="J25" s="96"/>
      <c r="K25" s="96">
        <f t="shared" si="0"/>
        <v>0</v>
      </c>
      <c r="N25" s="137"/>
      <c r="O25" s="178"/>
      <c r="P25" s="199"/>
    </row>
    <row r="26" spans="1:16">
      <c r="A26" s="95" t="s">
        <v>22</v>
      </c>
      <c r="C26" s="198"/>
      <c r="D26" s="198"/>
      <c r="E26" s="156"/>
      <c r="F26" s="156"/>
      <c r="G26" s="156"/>
      <c r="H26" s="156"/>
      <c r="I26" s="199"/>
      <c r="J26" s="96"/>
      <c r="K26" s="96">
        <f t="shared" si="0"/>
        <v>0</v>
      </c>
      <c r="O26" s="178"/>
      <c r="P26" s="199"/>
    </row>
    <row r="27" spans="1:16">
      <c r="A27" s="95" t="s">
        <v>84</v>
      </c>
      <c r="B27" s="178" t="s">
        <v>85</v>
      </c>
      <c r="C27" s="198"/>
      <c r="D27" s="198"/>
      <c r="E27" s="156">
        <v>1000</v>
      </c>
      <c r="F27" s="156">
        <v>500</v>
      </c>
      <c r="G27" s="156">
        <v>500</v>
      </c>
      <c r="H27" s="156">
        <v>500</v>
      </c>
      <c r="I27" s="199"/>
      <c r="J27" s="96"/>
      <c r="K27" s="96">
        <f t="shared" si="0"/>
        <v>2500</v>
      </c>
      <c r="O27" s="178"/>
      <c r="P27" s="199"/>
    </row>
    <row r="28" spans="1:16">
      <c r="A28" s="95" t="s">
        <v>49</v>
      </c>
      <c r="B28" s="178" t="s">
        <v>32</v>
      </c>
      <c r="C28" s="198"/>
      <c r="D28" s="198"/>
      <c r="E28" s="156">
        <v>500</v>
      </c>
      <c r="F28" s="156"/>
      <c r="G28" s="156"/>
      <c r="H28" s="156"/>
      <c r="I28" s="199"/>
      <c r="J28" s="96"/>
      <c r="K28" s="96">
        <f t="shared" si="0"/>
        <v>500</v>
      </c>
      <c r="O28" s="178"/>
      <c r="P28" s="202"/>
    </row>
    <row r="29" spans="1:16">
      <c r="A29" s="95" t="s">
        <v>176</v>
      </c>
      <c r="B29" s="178" t="s">
        <v>177</v>
      </c>
      <c r="C29" s="198"/>
      <c r="D29" s="198"/>
      <c r="E29" s="156"/>
      <c r="F29" s="156"/>
      <c r="G29" s="156">
        <v>500</v>
      </c>
      <c r="H29" s="156">
        <v>500</v>
      </c>
      <c r="I29" s="199">
        <v>200</v>
      </c>
      <c r="J29" s="96">
        <v>700</v>
      </c>
      <c r="K29" s="96">
        <f>SUM(C29:J29)</f>
        <v>1900</v>
      </c>
      <c r="O29" s="178"/>
      <c r="P29" s="202"/>
    </row>
    <row r="30" spans="1:16">
      <c r="A30" s="95" t="s">
        <v>48</v>
      </c>
      <c r="B30" s="178" t="s">
        <v>42</v>
      </c>
      <c r="C30" s="198"/>
      <c r="D30" s="198"/>
      <c r="E30" s="156">
        <v>200</v>
      </c>
      <c r="F30" s="156"/>
      <c r="G30" s="156"/>
      <c r="H30" s="156"/>
      <c r="I30" s="199"/>
      <c r="J30" s="96"/>
      <c r="K30" s="96">
        <f t="shared" si="0"/>
        <v>200</v>
      </c>
      <c r="O30" s="178"/>
      <c r="P30" s="199"/>
    </row>
    <row r="31" spans="1:16">
      <c r="A31" s="95" t="s">
        <v>11</v>
      </c>
      <c r="B31" s="178" t="s">
        <v>47</v>
      </c>
      <c r="C31" s="198"/>
      <c r="D31" s="198">
        <f>SUM(130+550+150)</f>
        <v>830</v>
      </c>
      <c r="E31" s="156"/>
      <c r="F31" s="156"/>
      <c r="G31" s="156"/>
      <c r="H31" s="156"/>
      <c r="I31" s="199"/>
      <c r="J31" s="96"/>
      <c r="K31" s="96">
        <f t="shared" si="0"/>
        <v>830</v>
      </c>
      <c r="O31" s="178"/>
      <c r="P31" s="199"/>
    </row>
    <row r="32" spans="1:16">
      <c r="A32" s="95" t="s">
        <v>221</v>
      </c>
      <c r="B32" s="178" t="s">
        <v>222</v>
      </c>
      <c r="C32" s="198"/>
      <c r="D32" s="198"/>
      <c r="E32" s="156"/>
      <c r="F32" s="156"/>
      <c r="G32" s="156"/>
      <c r="H32" s="156">
        <v>500</v>
      </c>
      <c r="I32" s="199"/>
      <c r="J32" s="96"/>
      <c r="K32" s="96">
        <f t="shared" si="0"/>
        <v>500</v>
      </c>
      <c r="O32" s="178"/>
      <c r="P32" s="199"/>
    </row>
    <row r="33" spans="1:16">
      <c r="A33" s="95" t="s">
        <v>23</v>
      </c>
      <c r="B33" s="178" t="s">
        <v>202</v>
      </c>
      <c r="C33" s="198">
        <v>11000</v>
      </c>
      <c r="D33" s="198"/>
      <c r="E33" s="156"/>
      <c r="F33" s="156"/>
      <c r="G33" s="156">
        <v>2500</v>
      </c>
      <c r="H33" s="156">
        <v>2500</v>
      </c>
      <c r="I33" s="199"/>
      <c r="J33" s="96"/>
      <c r="K33" s="96">
        <f t="shared" si="0"/>
        <v>16000</v>
      </c>
      <c r="O33" s="178"/>
      <c r="P33" s="199"/>
    </row>
    <row r="34" spans="1:16">
      <c r="A34" s="137" t="s">
        <v>9</v>
      </c>
      <c r="B34" s="178" t="s">
        <v>44</v>
      </c>
      <c r="C34" s="198">
        <v>500</v>
      </c>
      <c r="D34" s="198">
        <v>550</v>
      </c>
      <c r="E34" s="156">
        <v>500</v>
      </c>
      <c r="F34" s="156">
        <v>400</v>
      </c>
      <c r="G34" s="156">
        <v>700</v>
      </c>
      <c r="H34" s="156">
        <v>200</v>
      </c>
      <c r="I34" s="199">
        <v>200</v>
      </c>
      <c r="J34" s="96">
        <v>200</v>
      </c>
      <c r="K34" s="96">
        <f>SUM(C34:J34)</f>
        <v>3250</v>
      </c>
      <c r="O34" s="178"/>
      <c r="P34" s="199"/>
    </row>
    <row r="35" spans="1:16">
      <c r="A35" s="137" t="s">
        <v>30</v>
      </c>
      <c r="B35" s="178" t="s">
        <v>31</v>
      </c>
      <c r="C35" s="198"/>
      <c r="D35" s="198"/>
      <c r="E35" s="156">
        <v>200</v>
      </c>
      <c r="F35" s="156"/>
      <c r="G35" s="156">
        <v>200</v>
      </c>
      <c r="H35" s="156">
        <v>200</v>
      </c>
      <c r="I35" s="199"/>
      <c r="J35" s="96">
        <v>400</v>
      </c>
      <c r="K35" s="96">
        <f>SUM(C35:J35)</f>
        <v>1000</v>
      </c>
      <c r="O35" s="178"/>
      <c r="P35" s="199"/>
    </row>
    <row r="36" spans="1:16">
      <c r="A36" s="137" t="s">
        <v>28</v>
      </c>
      <c r="B36" s="178" t="s">
        <v>43</v>
      </c>
      <c r="C36" s="198"/>
      <c r="D36" s="198"/>
      <c r="E36" s="156">
        <v>150</v>
      </c>
      <c r="F36" s="156">
        <v>200</v>
      </c>
      <c r="G36" s="156"/>
      <c r="H36" s="156"/>
      <c r="I36" s="199"/>
      <c r="J36" s="96"/>
      <c r="K36" s="96">
        <f t="shared" si="0"/>
        <v>350</v>
      </c>
      <c r="O36" s="178"/>
      <c r="P36" s="199"/>
    </row>
    <row r="37" spans="1:16">
      <c r="A37" s="137" t="s">
        <v>46</v>
      </c>
      <c r="B37" s="178" t="s">
        <v>208</v>
      </c>
      <c r="C37" s="198"/>
      <c r="D37" s="198"/>
      <c r="E37" s="156"/>
      <c r="F37" s="156"/>
      <c r="G37" s="156"/>
      <c r="H37" s="156"/>
      <c r="I37" s="199"/>
      <c r="J37" s="96"/>
      <c r="K37" s="96">
        <f t="shared" si="0"/>
        <v>0</v>
      </c>
      <c r="O37" s="178"/>
      <c r="P37" s="199"/>
    </row>
    <row r="38" spans="1:16">
      <c r="A38" s="137" t="s">
        <v>169</v>
      </c>
      <c r="C38" s="198"/>
      <c r="D38" s="198"/>
      <c r="E38" s="156"/>
      <c r="F38" s="156"/>
      <c r="G38" s="156">
        <v>500</v>
      </c>
      <c r="H38" s="156">
        <v>200</v>
      </c>
      <c r="I38" s="199"/>
      <c r="J38" s="96"/>
      <c r="K38" s="96">
        <f t="shared" si="0"/>
        <v>700</v>
      </c>
      <c r="O38" s="178"/>
      <c r="P38" s="199"/>
    </row>
    <row r="39" spans="1:16">
      <c r="A39" s="95" t="s">
        <v>16</v>
      </c>
      <c r="C39" s="198">
        <v>100</v>
      </c>
      <c r="D39" s="198"/>
      <c r="E39" s="156"/>
      <c r="F39" s="156"/>
      <c r="G39" s="156"/>
      <c r="H39" s="156"/>
      <c r="I39" s="199"/>
      <c r="J39" s="96"/>
      <c r="K39" s="96">
        <f t="shared" si="0"/>
        <v>100</v>
      </c>
      <c r="O39" s="178"/>
      <c r="P39" s="199"/>
    </row>
    <row r="40" spans="1:16">
      <c r="A40" s="95" t="s">
        <v>181</v>
      </c>
      <c r="B40" s="178" t="s">
        <v>186</v>
      </c>
      <c r="C40" s="198"/>
      <c r="D40" s="198"/>
      <c r="E40" s="156"/>
      <c r="F40" s="156"/>
      <c r="G40" s="156">
        <v>2500</v>
      </c>
      <c r="H40" s="156"/>
      <c r="I40" s="199"/>
      <c r="J40" s="96"/>
      <c r="K40" s="96">
        <f t="shared" si="0"/>
        <v>2500</v>
      </c>
      <c r="O40" s="178"/>
      <c r="P40" s="199"/>
    </row>
    <row r="41" spans="1:16">
      <c r="A41" s="95" t="s">
        <v>444</v>
      </c>
      <c r="C41" s="198"/>
      <c r="D41" s="198"/>
      <c r="E41" s="156"/>
      <c r="F41" s="156"/>
      <c r="G41" s="156"/>
      <c r="H41" s="156"/>
      <c r="I41" s="199"/>
      <c r="J41" s="96">
        <v>1000</v>
      </c>
      <c r="K41" s="96"/>
      <c r="O41" s="178"/>
      <c r="P41" s="199"/>
    </row>
    <row r="42" spans="1:16">
      <c r="A42" s="95" t="s">
        <v>156</v>
      </c>
      <c r="B42" s="178" t="s">
        <v>157</v>
      </c>
      <c r="C42" s="198"/>
      <c r="D42" s="198"/>
      <c r="E42" s="156"/>
      <c r="F42" s="156">
        <v>500</v>
      </c>
      <c r="G42" s="156">
        <v>500</v>
      </c>
      <c r="H42" s="156">
        <v>500</v>
      </c>
      <c r="I42" s="199"/>
      <c r="J42" s="96"/>
      <c r="K42" s="96">
        <f t="shared" si="0"/>
        <v>1500</v>
      </c>
      <c r="O42" s="178"/>
      <c r="P42" s="199"/>
    </row>
    <row r="43" spans="1:16">
      <c r="A43" s="95" t="s">
        <v>204</v>
      </c>
      <c r="B43" s="178" t="s">
        <v>203</v>
      </c>
      <c r="C43" s="198">
        <v>1500</v>
      </c>
      <c r="D43" s="198"/>
      <c r="E43" s="156"/>
      <c r="F43" s="156"/>
      <c r="G43" s="156">
        <v>200</v>
      </c>
      <c r="H43" s="156"/>
      <c r="I43" s="199"/>
      <c r="J43" s="96"/>
      <c r="K43" s="96">
        <f t="shared" si="0"/>
        <v>1700</v>
      </c>
      <c r="O43" s="178"/>
      <c r="P43" s="199"/>
    </row>
    <row r="44" spans="1:16">
      <c r="A44" s="95" t="s">
        <v>226</v>
      </c>
      <c r="C44" s="198"/>
      <c r="D44" s="198"/>
      <c r="E44" s="156"/>
      <c r="F44" s="156"/>
      <c r="G44" s="156"/>
      <c r="H44" s="156">
        <v>500</v>
      </c>
      <c r="I44" s="199">
        <v>500</v>
      </c>
      <c r="J44" s="96"/>
      <c r="K44" s="96">
        <f t="shared" si="0"/>
        <v>1000</v>
      </c>
      <c r="O44" s="178"/>
      <c r="P44" s="199"/>
    </row>
    <row r="45" spans="1:16">
      <c r="A45" s="95" t="s">
        <v>185</v>
      </c>
      <c r="B45" s="178" t="s">
        <v>180</v>
      </c>
      <c r="C45" s="198"/>
      <c r="D45" s="198"/>
      <c r="E45" s="156"/>
      <c r="F45" s="156"/>
      <c r="G45" s="156">
        <v>200</v>
      </c>
      <c r="H45" s="156"/>
      <c r="I45" s="199">
        <v>200</v>
      </c>
      <c r="J45" s="96"/>
      <c r="K45" s="96">
        <f t="shared" si="0"/>
        <v>400</v>
      </c>
      <c r="O45" s="178"/>
      <c r="P45" s="199"/>
    </row>
    <row r="46" spans="1:16">
      <c r="A46" s="137" t="s">
        <v>7</v>
      </c>
      <c r="B46" s="178" t="s">
        <v>88</v>
      </c>
      <c r="C46" s="198">
        <v>250</v>
      </c>
      <c r="D46" s="198"/>
      <c r="E46" s="156">
        <v>300</v>
      </c>
      <c r="F46" s="156">
        <v>200</v>
      </c>
      <c r="G46" s="156">
        <v>200</v>
      </c>
      <c r="H46" s="156"/>
      <c r="I46" s="199"/>
      <c r="J46" s="96"/>
      <c r="K46" s="96">
        <f t="shared" si="0"/>
        <v>950</v>
      </c>
      <c r="O46" s="178"/>
      <c r="P46" s="199"/>
    </row>
    <row r="47" spans="1:16">
      <c r="A47" s="137" t="s">
        <v>212</v>
      </c>
      <c r="C47" s="198"/>
      <c r="D47" s="198"/>
      <c r="E47" s="156"/>
      <c r="F47" s="156"/>
      <c r="G47" s="156"/>
      <c r="H47" s="156">
        <v>500</v>
      </c>
      <c r="I47" s="199"/>
      <c r="J47" s="96"/>
      <c r="K47" s="96">
        <f t="shared" si="0"/>
        <v>500</v>
      </c>
      <c r="O47" s="178"/>
      <c r="P47" s="199"/>
    </row>
    <row r="48" spans="1:16">
      <c r="A48" s="137" t="s">
        <v>121</v>
      </c>
      <c r="B48" s="178" t="s">
        <v>205</v>
      </c>
      <c r="C48" s="198"/>
      <c r="D48" s="198"/>
      <c r="E48" s="156"/>
      <c r="F48" s="156">
        <v>250</v>
      </c>
      <c r="G48" s="156">
        <v>250</v>
      </c>
      <c r="H48" s="156">
        <v>250</v>
      </c>
      <c r="I48" s="199"/>
      <c r="J48" s="96"/>
      <c r="K48" s="96">
        <f t="shared" si="0"/>
        <v>750</v>
      </c>
      <c r="N48" s="137"/>
      <c r="O48" s="178"/>
      <c r="P48" s="199"/>
    </row>
    <row r="49" spans="1:16">
      <c r="A49" s="137" t="s">
        <v>89</v>
      </c>
      <c r="C49" s="198"/>
      <c r="D49" s="198"/>
      <c r="E49" s="156">
        <v>100</v>
      </c>
      <c r="F49" s="156"/>
      <c r="G49" s="156"/>
      <c r="H49" s="156"/>
      <c r="I49" s="199"/>
      <c r="J49" s="96"/>
      <c r="K49" s="96">
        <f t="shared" si="0"/>
        <v>100</v>
      </c>
      <c r="N49" s="137"/>
      <c r="O49" s="178"/>
      <c r="P49" s="199"/>
    </row>
    <row r="50" spans="1:16">
      <c r="A50" s="137"/>
      <c r="C50" s="198"/>
      <c r="D50" s="198"/>
      <c r="E50" s="156"/>
      <c r="F50" s="156"/>
      <c r="G50" s="156"/>
      <c r="H50" s="156"/>
      <c r="I50" s="199"/>
      <c r="J50" s="96"/>
      <c r="K50" s="96"/>
      <c r="N50" s="137"/>
      <c r="O50" s="178"/>
      <c r="P50" s="199"/>
    </row>
    <row r="51" spans="1:16">
      <c r="B51" s="207" t="s">
        <v>160</v>
      </c>
      <c r="C51" s="198">
        <f t="shared" ref="C51:H51" si="1">SUM(C7:C49)</f>
        <v>15500</v>
      </c>
      <c r="D51" s="198">
        <f t="shared" si="1"/>
        <v>2830</v>
      </c>
      <c r="E51" s="156">
        <f t="shared" si="1"/>
        <v>5450</v>
      </c>
      <c r="F51" s="156">
        <f t="shared" si="1"/>
        <v>3654.8</v>
      </c>
      <c r="G51" s="156">
        <f t="shared" si="1"/>
        <v>8895</v>
      </c>
      <c r="H51" s="156">
        <f t="shared" si="1"/>
        <v>8000</v>
      </c>
      <c r="I51" s="156">
        <f>SUM(I7:I49)</f>
        <v>1850</v>
      </c>
      <c r="J51" s="96">
        <f>SUM(J7:J49)</f>
        <v>2800</v>
      </c>
      <c r="K51" s="96"/>
      <c r="M51" s="178"/>
      <c r="O51" s="178"/>
      <c r="P51" s="199"/>
    </row>
    <row r="52" spans="1:16">
      <c r="B52" s="207"/>
      <c r="C52" s="198"/>
      <c r="D52" s="198"/>
      <c r="E52" s="156"/>
      <c r="F52" s="156"/>
      <c r="G52" s="156"/>
      <c r="H52" s="156"/>
      <c r="I52" s="199"/>
      <c r="J52" s="96"/>
      <c r="K52" s="96"/>
      <c r="M52" s="178"/>
      <c r="O52" s="178"/>
      <c r="P52" s="199"/>
    </row>
    <row r="53" spans="1:16" ht="19">
      <c r="A53" s="187" t="s">
        <v>41</v>
      </c>
      <c r="B53" s="188"/>
    </row>
    <row r="54" spans="1:16" ht="19">
      <c r="A54" s="187"/>
      <c r="B54" s="188"/>
    </row>
    <row r="55" spans="1:16" ht="18">
      <c r="A55" s="191" t="s">
        <v>163</v>
      </c>
      <c r="B55" s="192"/>
      <c r="C55" s="192"/>
      <c r="D55" s="192"/>
      <c r="E55" s="192"/>
      <c r="F55" s="192"/>
      <c r="G55" s="192"/>
      <c r="H55" s="192"/>
      <c r="I55" s="193"/>
      <c r="J55" s="194"/>
      <c r="K55" s="192"/>
      <c r="O55" s="178"/>
      <c r="P55" s="199"/>
    </row>
    <row r="56" spans="1:16" ht="15">
      <c r="A56" s="195" t="s">
        <v>24</v>
      </c>
      <c r="B56" s="196" t="s">
        <v>25</v>
      </c>
      <c r="C56" s="196" t="s">
        <v>2</v>
      </c>
      <c r="D56" s="196" t="s">
        <v>3</v>
      </c>
      <c r="E56" s="196" t="s">
        <v>4</v>
      </c>
      <c r="F56" s="196" t="s">
        <v>119</v>
      </c>
      <c r="G56" s="196" t="s">
        <v>162</v>
      </c>
      <c r="H56" s="196" t="s">
        <v>209</v>
      </c>
      <c r="I56" s="197" t="s">
        <v>247</v>
      </c>
      <c r="J56" s="195"/>
      <c r="K56" s="196" t="s">
        <v>21</v>
      </c>
      <c r="N56" s="137"/>
      <c r="O56" s="183"/>
      <c r="P56" s="202"/>
    </row>
    <row r="57" spans="1:16">
      <c r="A57" s="137" t="s">
        <v>29</v>
      </c>
      <c r="B57" s="178" t="s">
        <v>80</v>
      </c>
      <c r="C57" s="200">
        <v>4000</v>
      </c>
      <c r="D57" s="200">
        <v>4000</v>
      </c>
      <c r="E57" s="156">
        <v>4000</v>
      </c>
      <c r="F57" s="156">
        <v>1440</v>
      </c>
      <c r="G57" s="156">
        <v>2880</v>
      </c>
      <c r="H57" s="156"/>
      <c r="I57" s="199"/>
      <c r="J57" s="96"/>
      <c r="K57" s="96">
        <f>SUM(C57:I57)</f>
        <v>16320</v>
      </c>
      <c r="N57" s="137"/>
      <c r="O57" s="183"/>
      <c r="P57" s="202"/>
    </row>
    <row r="58" spans="1:16">
      <c r="A58" s="137" t="s">
        <v>86</v>
      </c>
      <c r="C58" s="198"/>
      <c r="D58" s="198">
        <v>729</v>
      </c>
      <c r="E58" s="156">
        <v>1140.6600000000001</v>
      </c>
      <c r="F58" s="156">
        <v>1231.52</v>
      </c>
      <c r="G58" s="156">
        <v>700</v>
      </c>
      <c r="H58" s="156">
        <v>2330.1799999999998</v>
      </c>
      <c r="I58" s="202">
        <f>'4'!D5</f>
        <v>701.96</v>
      </c>
      <c r="J58" s="96"/>
      <c r="K58" s="96">
        <f t="shared" ref="K58:K59" si="2">SUM(C58:I58)</f>
        <v>6833.3200000000006</v>
      </c>
      <c r="N58" s="137"/>
      <c r="O58" s="183"/>
      <c r="P58" s="202"/>
    </row>
    <row r="59" spans="1:16">
      <c r="A59" s="137" t="s">
        <v>87</v>
      </c>
      <c r="C59" s="198"/>
      <c r="D59" s="198"/>
      <c r="E59" s="156">
        <v>5574.4</v>
      </c>
      <c r="F59" s="201">
        <v>9081.75</v>
      </c>
      <c r="G59" s="201">
        <v>960</v>
      </c>
      <c r="H59" s="201">
        <v>8610.57</v>
      </c>
      <c r="I59" s="202">
        <v>12326.98</v>
      </c>
      <c r="J59" s="96"/>
      <c r="K59" s="96">
        <f t="shared" si="2"/>
        <v>36553.699999999997</v>
      </c>
      <c r="N59" s="137"/>
      <c r="O59" s="183"/>
      <c r="P59" s="202"/>
    </row>
    <row r="60" spans="1:16">
      <c r="A60" s="137"/>
      <c r="C60" s="198"/>
      <c r="D60" s="198"/>
      <c r="E60" s="156"/>
      <c r="F60" s="156"/>
      <c r="G60" s="156"/>
      <c r="H60" s="156"/>
      <c r="I60" s="199"/>
      <c r="J60" s="96"/>
      <c r="K60" s="96"/>
      <c r="N60" s="137"/>
      <c r="O60" s="183"/>
      <c r="P60" s="202"/>
    </row>
    <row r="61" spans="1:16">
      <c r="B61" s="207" t="s">
        <v>160</v>
      </c>
      <c r="C61" s="198">
        <f t="shared" ref="C61:I61" si="3">SUM(C57:C59)</f>
        <v>4000</v>
      </c>
      <c r="D61" s="198">
        <f t="shared" si="3"/>
        <v>4729</v>
      </c>
      <c r="E61" s="156">
        <f t="shared" si="3"/>
        <v>10715.06</v>
      </c>
      <c r="F61" s="156">
        <f t="shared" si="3"/>
        <v>11753.27</v>
      </c>
      <c r="G61" s="156">
        <f t="shared" si="3"/>
        <v>4540</v>
      </c>
      <c r="H61" s="156">
        <f t="shared" si="3"/>
        <v>10940.75</v>
      </c>
      <c r="I61" s="156">
        <f t="shared" si="3"/>
        <v>13028.939999999999</v>
      </c>
      <c r="J61" s="96"/>
      <c r="K61" s="96"/>
      <c r="N61" s="137"/>
      <c r="O61" s="183"/>
      <c r="P61" s="202"/>
    </row>
    <row r="62" spans="1:16">
      <c r="B62" s="207"/>
      <c r="C62" s="198"/>
      <c r="D62" s="198"/>
      <c r="E62" s="156"/>
      <c r="F62" s="156"/>
      <c r="G62" s="156"/>
      <c r="H62" s="156"/>
      <c r="I62" s="199"/>
      <c r="J62" s="96"/>
      <c r="K62" s="96"/>
      <c r="N62" s="137"/>
      <c r="O62" s="183"/>
      <c r="P62" s="202"/>
    </row>
    <row r="63" spans="1:16" ht="18">
      <c r="A63" s="191" t="s">
        <v>164</v>
      </c>
      <c r="B63" s="192"/>
      <c r="C63" s="192"/>
      <c r="D63" s="192"/>
      <c r="E63" s="192"/>
      <c r="F63" s="192"/>
      <c r="G63" s="192"/>
      <c r="H63" s="192"/>
      <c r="I63" s="193"/>
      <c r="J63" s="194"/>
      <c r="K63" s="192"/>
      <c r="N63" s="137"/>
      <c r="O63" s="183"/>
      <c r="P63" s="202"/>
    </row>
    <row r="64" spans="1:16" ht="15">
      <c r="A64" s="195" t="s">
        <v>24</v>
      </c>
      <c r="B64" s="196" t="s">
        <v>25</v>
      </c>
      <c r="C64" s="196" t="s">
        <v>2</v>
      </c>
      <c r="D64" s="196" t="s">
        <v>3</v>
      </c>
      <c r="E64" s="196" t="s">
        <v>4</v>
      </c>
      <c r="F64" s="196" t="s">
        <v>119</v>
      </c>
      <c r="G64" s="196" t="s">
        <v>162</v>
      </c>
      <c r="H64" s="196" t="s">
        <v>209</v>
      </c>
      <c r="I64" s="197" t="s">
        <v>247</v>
      </c>
      <c r="J64" s="195"/>
      <c r="K64" s="196" t="s">
        <v>21</v>
      </c>
      <c r="N64" s="137"/>
      <c r="O64" s="183"/>
      <c r="P64" s="202"/>
    </row>
    <row r="65" spans="1:16">
      <c r="A65" s="95" t="s">
        <v>12</v>
      </c>
      <c r="C65" s="198"/>
      <c r="D65" s="198">
        <v>175</v>
      </c>
      <c r="E65" s="156">
        <v>175</v>
      </c>
      <c r="F65" s="156">
        <v>175</v>
      </c>
      <c r="G65" s="156"/>
      <c r="H65" s="156"/>
      <c r="I65" s="199">
        <v>250</v>
      </c>
      <c r="J65" s="96"/>
      <c r="K65" s="96">
        <f>SUM(C65:I65)</f>
        <v>775</v>
      </c>
      <c r="N65" s="137"/>
      <c r="O65" s="183"/>
      <c r="P65" s="202"/>
    </row>
    <row r="66" spans="1:16" ht="17.25" customHeight="1">
      <c r="A66" s="95" t="s">
        <v>117</v>
      </c>
      <c r="C66" s="198"/>
      <c r="D66" s="198"/>
      <c r="E66" s="156"/>
      <c r="F66" s="156">
        <v>1250</v>
      </c>
      <c r="G66" s="156"/>
      <c r="H66" s="156"/>
      <c r="I66" s="199"/>
      <c r="J66" s="96"/>
      <c r="K66" s="96">
        <f t="shared" ref="K66:K70" si="4">SUM(C66:I66)</f>
        <v>1250</v>
      </c>
      <c r="N66" s="137"/>
      <c r="O66" s="183"/>
      <c r="P66" s="208"/>
    </row>
    <row r="67" spans="1:16">
      <c r="A67" s="95" t="s">
        <v>19</v>
      </c>
      <c r="C67" s="198">
        <v>2500</v>
      </c>
      <c r="D67" s="93">
        <v>2500</v>
      </c>
      <c r="E67" s="156">
        <f>2500+700</f>
        <v>3200</v>
      </c>
      <c r="F67" s="156">
        <v>2000</v>
      </c>
      <c r="G67" s="156">
        <v>2000</v>
      </c>
      <c r="H67" s="156">
        <v>2250</v>
      </c>
      <c r="I67" s="202">
        <v>2000</v>
      </c>
      <c r="J67" s="96"/>
      <c r="K67" s="96">
        <f t="shared" si="4"/>
        <v>16450</v>
      </c>
      <c r="N67" s="137"/>
      <c r="O67" s="183"/>
      <c r="P67" s="183"/>
    </row>
    <row r="68" spans="1:16">
      <c r="A68" s="95" t="s">
        <v>17</v>
      </c>
      <c r="B68" s="178" t="s">
        <v>18</v>
      </c>
      <c r="C68" s="198">
        <v>500</v>
      </c>
      <c r="D68" s="198"/>
      <c r="E68" s="156">
        <v>500</v>
      </c>
      <c r="F68" s="156"/>
      <c r="G68" s="156">
        <v>700</v>
      </c>
      <c r="H68" s="156"/>
      <c r="I68" s="202">
        <v>500</v>
      </c>
      <c r="J68" s="96">
        <v>150</v>
      </c>
      <c r="K68" s="96">
        <f>SUM(C68:J68)</f>
        <v>2350</v>
      </c>
      <c r="N68" s="137"/>
      <c r="O68" s="137"/>
      <c r="P68" s="137"/>
    </row>
    <row r="69" spans="1:16">
      <c r="A69" s="95" t="s">
        <v>154</v>
      </c>
      <c r="C69" s="198"/>
      <c r="D69" s="198"/>
      <c r="E69" s="156"/>
      <c r="F69" s="156">
        <v>500</v>
      </c>
      <c r="G69" s="156">
        <v>500</v>
      </c>
      <c r="H69" s="156"/>
      <c r="I69" s="199"/>
      <c r="J69" s="96"/>
      <c r="K69" s="96">
        <f t="shared" si="4"/>
        <v>1000</v>
      </c>
      <c r="N69" s="137"/>
      <c r="O69" s="137"/>
      <c r="P69" s="137"/>
    </row>
    <row r="70" spans="1:16">
      <c r="A70" s="137" t="s">
        <v>159</v>
      </c>
      <c r="C70" s="198"/>
      <c r="D70" s="198"/>
      <c r="E70" s="156"/>
      <c r="F70" s="156">
        <v>500</v>
      </c>
      <c r="G70" s="156">
        <v>500</v>
      </c>
      <c r="H70" s="156"/>
      <c r="I70" s="199"/>
      <c r="J70" s="96">
        <v>2000</v>
      </c>
      <c r="K70" s="96">
        <f t="shared" si="4"/>
        <v>1000</v>
      </c>
    </row>
    <row r="71" spans="1:16">
      <c r="A71" s="137"/>
      <c r="C71" s="198"/>
      <c r="D71" s="198"/>
      <c r="E71" s="156"/>
      <c r="F71" s="156"/>
      <c r="G71" s="156"/>
      <c r="H71" s="156"/>
      <c r="I71" s="199"/>
      <c r="J71" s="96"/>
      <c r="K71" s="96"/>
    </row>
    <row r="72" spans="1:16">
      <c r="A72" s="137"/>
      <c r="C72" s="198"/>
      <c r="D72" s="198"/>
      <c r="E72" s="156"/>
      <c r="F72" s="156"/>
      <c r="G72" s="156"/>
      <c r="H72" s="156"/>
      <c r="I72" s="199"/>
      <c r="J72" s="96"/>
      <c r="K72" s="96"/>
    </row>
    <row r="73" spans="1:16">
      <c r="B73" s="207" t="s">
        <v>160</v>
      </c>
      <c r="C73" s="198">
        <f t="shared" ref="C73:H73" si="5">SUM(C65:C70)</f>
        <v>3000</v>
      </c>
      <c r="D73" s="198">
        <f t="shared" si="5"/>
        <v>2675</v>
      </c>
      <c r="E73" s="156">
        <f t="shared" si="5"/>
        <v>3875</v>
      </c>
      <c r="F73" s="156">
        <f t="shared" si="5"/>
        <v>4425</v>
      </c>
      <c r="G73" s="156">
        <f t="shared" si="5"/>
        <v>3700</v>
      </c>
      <c r="H73" s="156">
        <f t="shared" si="5"/>
        <v>2250</v>
      </c>
      <c r="I73" s="156">
        <f>SUM(I65:I71)</f>
        <v>2750</v>
      </c>
      <c r="J73" s="96"/>
      <c r="K73" s="96"/>
    </row>
    <row r="74" spans="1:16">
      <c r="A74" s="137"/>
      <c r="C74" s="198"/>
      <c r="D74" s="198"/>
      <c r="E74" s="156"/>
      <c r="F74" s="156"/>
      <c r="G74" s="156"/>
      <c r="H74" s="156"/>
      <c r="I74" s="199"/>
      <c r="J74" s="96"/>
      <c r="K74" s="96"/>
    </row>
    <row r="75" spans="1:16" ht="19">
      <c r="A75" s="187" t="s">
        <v>171</v>
      </c>
      <c r="B75" s="188"/>
    </row>
    <row r="76" spans="1:16" ht="19">
      <c r="A76" s="187"/>
      <c r="B76" s="188"/>
    </row>
    <row r="77" spans="1:16" ht="18">
      <c r="A77" s="191" t="s">
        <v>172</v>
      </c>
      <c r="B77" s="192"/>
      <c r="C77" s="192"/>
      <c r="D77" s="192"/>
      <c r="E77" s="192"/>
      <c r="F77" s="192"/>
      <c r="G77" s="192"/>
      <c r="H77" s="192"/>
      <c r="I77" s="193"/>
      <c r="J77" s="194"/>
      <c r="K77" s="192"/>
      <c r="O77" s="178"/>
      <c r="P77" s="199"/>
    </row>
    <row r="78" spans="1:16" ht="15">
      <c r="A78" s="195" t="s">
        <v>70</v>
      </c>
      <c r="B78" s="196"/>
      <c r="C78" s="196" t="s">
        <v>2</v>
      </c>
      <c r="D78" s="196" t="s">
        <v>3</v>
      </c>
      <c r="E78" s="196" t="s">
        <v>4</v>
      </c>
      <c r="F78" s="196" t="s">
        <v>119</v>
      </c>
      <c r="G78" s="196" t="s">
        <v>162</v>
      </c>
      <c r="H78" s="196" t="s">
        <v>209</v>
      </c>
      <c r="I78" s="197" t="s">
        <v>247</v>
      </c>
      <c r="J78" s="195"/>
      <c r="K78" s="196" t="s">
        <v>21</v>
      </c>
      <c r="N78" s="137"/>
      <c r="O78" s="183"/>
      <c r="P78" s="202"/>
    </row>
    <row r="79" spans="1:16">
      <c r="A79" s="137" t="s">
        <v>170</v>
      </c>
      <c r="C79" s="200"/>
      <c r="D79" s="200"/>
      <c r="E79" s="156"/>
      <c r="F79" s="156"/>
      <c r="G79" s="156">
        <v>40</v>
      </c>
      <c r="H79" s="156"/>
      <c r="I79" s="199"/>
      <c r="J79" s="96"/>
      <c r="K79" s="96">
        <f>SUM(C79:I79)</f>
        <v>40</v>
      </c>
      <c r="N79" s="137"/>
      <c r="O79" s="183"/>
      <c r="P79" s="202"/>
    </row>
    <row r="80" spans="1:16">
      <c r="A80" s="137" t="s">
        <v>173</v>
      </c>
      <c r="C80" s="198"/>
      <c r="D80" s="198"/>
      <c r="E80" s="156"/>
      <c r="F80" s="156"/>
      <c r="G80" s="156">
        <v>40</v>
      </c>
      <c r="H80" s="156"/>
      <c r="I80" s="199"/>
      <c r="J80" s="96"/>
      <c r="K80" s="96">
        <f t="shared" ref="K80:K82" si="6">SUM(C80:I80)</f>
        <v>40</v>
      </c>
      <c r="N80" s="137"/>
      <c r="O80" s="183"/>
      <c r="P80" s="202"/>
    </row>
    <row r="81" spans="1:16">
      <c r="A81" s="137" t="s">
        <v>15</v>
      </c>
      <c r="C81" s="198"/>
      <c r="D81" s="198"/>
      <c r="E81" s="156"/>
      <c r="F81" s="156"/>
      <c r="G81" s="156">
        <v>40</v>
      </c>
      <c r="H81" s="156"/>
      <c r="I81" s="199"/>
      <c r="J81" s="96"/>
      <c r="K81" s="96">
        <f t="shared" si="6"/>
        <v>40</v>
      </c>
      <c r="N81" s="137"/>
      <c r="O81" s="183"/>
      <c r="P81" s="202"/>
    </row>
    <row r="82" spans="1:16">
      <c r="A82" s="137" t="s">
        <v>114</v>
      </c>
      <c r="C82" s="198"/>
      <c r="D82" s="198"/>
      <c r="E82" s="156"/>
      <c r="F82" s="201"/>
      <c r="G82" s="201">
        <v>40</v>
      </c>
      <c r="H82" s="201"/>
      <c r="I82" s="202"/>
      <c r="J82" s="96"/>
      <c r="K82" s="96">
        <f t="shared" si="6"/>
        <v>40</v>
      </c>
      <c r="N82" s="137"/>
      <c r="O82" s="183"/>
      <c r="P82" s="202"/>
    </row>
    <row r="83" spans="1:16">
      <c r="A83" s="137" t="s">
        <v>153</v>
      </c>
      <c r="C83" s="198"/>
      <c r="D83" s="198"/>
      <c r="E83" s="156"/>
      <c r="F83" s="201"/>
      <c r="G83" s="201"/>
      <c r="H83" s="201"/>
      <c r="I83" s="202">
        <v>20</v>
      </c>
      <c r="J83" s="96"/>
      <c r="K83" s="96"/>
      <c r="N83" s="137"/>
      <c r="O83" s="183"/>
      <c r="P83" s="202"/>
    </row>
    <row r="84" spans="1:16">
      <c r="A84" s="137" t="s">
        <v>115</v>
      </c>
      <c r="C84" s="198"/>
      <c r="D84" s="198"/>
      <c r="E84" s="156"/>
      <c r="F84" s="201"/>
      <c r="G84" s="201"/>
      <c r="H84" s="201"/>
      <c r="I84" s="202">
        <v>50</v>
      </c>
      <c r="J84" s="96"/>
      <c r="K84" s="96"/>
      <c r="N84" s="137"/>
      <c r="O84" s="183"/>
      <c r="P84" s="202"/>
    </row>
    <row r="85" spans="1:16">
      <c r="A85" s="137" t="s">
        <v>105</v>
      </c>
      <c r="C85" s="198"/>
      <c r="D85" s="198"/>
      <c r="E85" s="156"/>
      <c r="F85" s="201"/>
      <c r="G85" s="201"/>
      <c r="H85" s="201"/>
      <c r="I85" s="202">
        <v>500</v>
      </c>
      <c r="J85" s="96"/>
      <c r="K85" s="96"/>
      <c r="N85" s="137"/>
      <c r="O85" s="183"/>
      <c r="P85" s="202"/>
    </row>
    <row r="86" spans="1:16">
      <c r="A86" s="137" t="s">
        <v>237</v>
      </c>
      <c r="C86" s="198"/>
      <c r="D86" s="198"/>
      <c r="E86" s="156"/>
      <c r="F86" s="201"/>
      <c r="G86" s="201"/>
      <c r="H86" s="201"/>
      <c r="I86" s="202"/>
      <c r="J86" s="96"/>
      <c r="K86" s="96">
        <f>SUM(C86:I86)</f>
        <v>0</v>
      </c>
      <c r="N86" s="137"/>
      <c r="O86" s="183"/>
      <c r="P86" s="202"/>
    </row>
    <row r="87" spans="1:16">
      <c r="A87" s="137"/>
      <c r="C87" s="198"/>
      <c r="D87" s="198"/>
      <c r="E87" s="156"/>
      <c r="F87" s="201"/>
      <c r="G87" s="201"/>
      <c r="H87" s="201"/>
      <c r="I87" s="202"/>
      <c r="J87" s="96"/>
      <c r="K87" s="96"/>
      <c r="N87" s="137"/>
      <c r="O87" s="183"/>
      <c r="P87" s="202"/>
    </row>
    <row r="88" spans="1:16">
      <c r="B88" s="207" t="s">
        <v>160</v>
      </c>
      <c r="C88" s="198">
        <f t="shared" ref="C88:G88" si="7">SUM(C79:C82)</f>
        <v>0</v>
      </c>
      <c r="D88" s="198">
        <f t="shared" si="7"/>
        <v>0</v>
      </c>
      <c r="E88" s="156">
        <f t="shared" si="7"/>
        <v>0</v>
      </c>
      <c r="F88" s="156">
        <f t="shared" si="7"/>
        <v>0</v>
      </c>
      <c r="G88" s="156">
        <f t="shared" si="7"/>
        <v>160</v>
      </c>
      <c r="H88" s="156">
        <f>SUM(H79:H86)</f>
        <v>0</v>
      </c>
      <c r="I88" s="156">
        <f>SUM(I79:I86)</f>
        <v>570</v>
      </c>
      <c r="J88" s="96"/>
      <c r="K88" s="96"/>
      <c r="N88" s="137"/>
      <c r="O88" s="183"/>
      <c r="P88" s="202"/>
    </row>
    <row r="89" spans="1:16" s="209" customFormat="1" ht="18">
      <c r="B89" s="210" t="s">
        <v>165</v>
      </c>
      <c r="C89" s="198">
        <f>C73+C61+C51</f>
        <v>22500</v>
      </c>
      <c r="D89" s="198">
        <f>D73+D61+D51</f>
        <v>10234</v>
      </c>
      <c r="E89" s="198">
        <f>E73+E61+E51</f>
        <v>20040.059999999998</v>
      </c>
      <c r="F89" s="198">
        <f>F73+F61+F51</f>
        <v>19833.07</v>
      </c>
      <c r="G89" s="198">
        <f>G73+G61+G51</f>
        <v>17135</v>
      </c>
      <c r="H89" s="198">
        <f>H51+H61+H73+H88</f>
        <v>21190.75</v>
      </c>
      <c r="I89" s="211">
        <f>I51+I61+I73+I88</f>
        <v>18198.939999999999</v>
      </c>
    </row>
  </sheetData>
  <pageMargins left="0.53" right="0.25" top="0.75" bottom="0.38" header="0.3" footer="0.3"/>
  <pageSetup scale="5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5" workbookViewId="0">
      <selection activeCell="C35" sqref="C35"/>
    </sheetView>
  </sheetViews>
  <sheetFormatPr baseColWidth="10" defaultColWidth="9.1640625" defaultRowHeight="14" x14ac:dyDescent="0"/>
  <cols>
    <col min="1" max="1" width="9.83203125" style="95" customWidth="1"/>
    <col min="2" max="2" width="19.33203125" style="95" bestFit="1" customWidth="1"/>
    <col min="3" max="3" width="28.6640625" style="95" customWidth="1"/>
    <col min="4" max="4" width="13.5" style="95" customWidth="1"/>
    <col min="5" max="5" width="10.33203125" style="96" customWidth="1"/>
    <col min="6" max="16384" width="9.1640625" style="95"/>
  </cols>
  <sheetData>
    <row r="1" spans="1:11" ht="21">
      <c r="A1" s="395" t="s">
        <v>56</v>
      </c>
      <c r="B1" s="395"/>
    </row>
    <row r="2" spans="1:11">
      <c r="C2" s="126"/>
    </row>
    <row r="3" spans="1:11" ht="17">
      <c r="A3" s="212" t="s">
        <v>63</v>
      </c>
      <c r="B3" s="212"/>
      <c r="C3" s="213"/>
    </row>
    <row r="4" spans="1:11">
      <c r="A4" s="214" t="s">
        <v>1</v>
      </c>
      <c r="B4" s="214" t="s">
        <v>58</v>
      </c>
      <c r="C4" s="214" t="s">
        <v>38</v>
      </c>
      <c r="D4" s="214" t="s">
        <v>0</v>
      </c>
      <c r="E4" s="215" t="s">
        <v>175</v>
      </c>
    </row>
    <row r="5" spans="1:11">
      <c r="A5" s="216">
        <v>41522</v>
      </c>
      <c r="B5" s="217" t="s">
        <v>39</v>
      </c>
      <c r="C5" s="217" t="s">
        <v>449</v>
      </c>
      <c r="D5" s="217" t="s">
        <v>339</v>
      </c>
      <c r="E5" s="218">
        <v>126.94</v>
      </c>
      <c r="F5" s="155"/>
      <c r="G5" s="106"/>
    </row>
    <row r="6" spans="1:11">
      <c r="A6" s="216">
        <v>41531</v>
      </c>
      <c r="B6" s="217" t="s">
        <v>446</v>
      </c>
      <c r="C6" s="217" t="s">
        <v>447</v>
      </c>
      <c r="D6" s="217" t="s">
        <v>314</v>
      </c>
      <c r="E6" s="218">
        <v>29.48</v>
      </c>
      <c r="F6" s="155"/>
      <c r="G6" s="106"/>
    </row>
    <row r="7" spans="1:11">
      <c r="A7" s="216">
        <v>41550</v>
      </c>
      <c r="B7" s="217" t="s">
        <v>39</v>
      </c>
      <c r="C7" s="217" t="s">
        <v>450</v>
      </c>
      <c r="D7" s="217" t="s">
        <v>339</v>
      </c>
      <c r="E7" s="218">
        <v>139.24</v>
      </c>
      <c r="F7" s="155"/>
      <c r="G7" s="106"/>
    </row>
    <row r="8" spans="1:11">
      <c r="A8" s="219">
        <v>41550</v>
      </c>
      <c r="B8" s="217" t="s">
        <v>448</v>
      </c>
      <c r="C8" s="220" t="s">
        <v>447</v>
      </c>
      <c r="D8" s="220" t="s">
        <v>314</v>
      </c>
      <c r="E8" s="303">
        <v>24.35</v>
      </c>
      <c r="F8" s="155"/>
      <c r="G8" s="106"/>
    </row>
    <row r="9" spans="1:11">
      <c r="A9" s="216">
        <v>41592</v>
      </c>
      <c r="B9" s="217" t="s">
        <v>39</v>
      </c>
      <c r="C9" s="220" t="s">
        <v>445</v>
      </c>
      <c r="D9" s="220" t="s">
        <v>339</v>
      </c>
      <c r="E9" s="218">
        <v>162.46</v>
      </c>
    </row>
    <row r="10" spans="1:11">
      <c r="A10" s="216"/>
      <c r="B10" s="217"/>
      <c r="C10" s="217"/>
      <c r="D10" s="217"/>
      <c r="E10" s="218"/>
      <c r="H10" s="124"/>
      <c r="I10" s="125"/>
      <c r="K10" s="125"/>
    </row>
    <row r="11" spans="1:11">
      <c r="A11" s="216"/>
      <c r="B11" s="217"/>
      <c r="C11" s="220"/>
      <c r="D11" s="220"/>
      <c r="E11" s="218"/>
      <c r="H11" s="124"/>
      <c r="I11" s="125"/>
      <c r="K11" s="125"/>
    </row>
    <row r="12" spans="1:11">
      <c r="A12" s="216"/>
      <c r="B12" s="217"/>
      <c r="C12" s="217"/>
      <c r="D12" s="220"/>
      <c r="E12" s="218"/>
      <c r="H12" s="124"/>
      <c r="I12" s="125"/>
      <c r="K12" s="125"/>
    </row>
    <row r="13" spans="1:11">
      <c r="A13" s="216"/>
      <c r="B13" s="217"/>
      <c r="C13" s="217"/>
      <c r="D13" s="217"/>
      <c r="E13" s="218"/>
      <c r="H13" s="124"/>
      <c r="I13" s="125"/>
      <c r="K13" s="125"/>
    </row>
    <row r="14" spans="1:11">
      <c r="D14" s="221" t="s">
        <v>160</v>
      </c>
      <c r="E14" s="172">
        <f>SUM(E5:E13)</f>
        <v>482.47</v>
      </c>
    </row>
    <row r="15" spans="1:11" ht="17">
      <c r="A15" s="222"/>
      <c r="B15" s="222"/>
    </row>
    <row r="16" spans="1:11">
      <c r="C16" s="126"/>
    </row>
    <row r="17" spans="1:7" ht="17">
      <c r="A17" s="212" t="s">
        <v>64</v>
      </c>
      <c r="B17" s="212"/>
      <c r="C17" s="213"/>
    </row>
    <row r="18" spans="1:7">
      <c r="A18" s="214" t="s">
        <v>1</v>
      </c>
      <c r="B18" s="214" t="s">
        <v>58</v>
      </c>
      <c r="C18" s="214" t="s">
        <v>38</v>
      </c>
      <c r="D18" s="214" t="s">
        <v>0</v>
      </c>
      <c r="E18" s="215" t="s">
        <v>175</v>
      </c>
    </row>
    <row r="19" spans="1:7">
      <c r="A19" s="356">
        <v>41689</v>
      </c>
      <c r="B19" s="295" t="s">
        <v>451</v>
      </c>
      <c r="C19" s="295" t="s">
        <v>452</v>
      </c>
      <c r="D19" s="295" t="s">
        <v>275</v>
      </c>
      <c r="E19" s="231">
        <v>15.6</v>
      </c>
      <c r="G19" s="106"/>
    </row>
    <row r="20" spans="1:7">
      <c r="A20" s="356">
        <v>41697</v>
      </c>
      <c r="B20" s="295" t="s">
        <v>39</v>
      </c>
      <c r="C20" s="295" t="s">
        <v>453</v>
      </c>
      <c r="D20" s="295">
        <v>133.46</v>
      </c>
      <c r="E20" s="231"/>
      <c r="G20" s="106"/>
    </row>
    <row r="21" spans="1:7">
      <c r="A21" s="356">
        <v>41739</v>
      </c>
      <c r="B21" s="295" t="s">
        <v>39</v>
      </c>
      <c r="C21" s="295" t="s">
        <v>445</v>
      </c>
      <c r="D21" s="295" t="s">
        <v>339</v>
      </c>
      <c r="E21" s="231">
        <v>31.3</v>
      </c>
      <c r="G21" s="106"/>
    </row>
    <row r="22" spans="1:7">
      <c r="A22" s="356"/>
      <c r="B22" s="295"/>
      <c r="C22" s="295"/>
      <c r="D22" s="295"/>
      <c r="E22" s="231"/>
    </row>
    <row r="23" spans="1:7">
      <c r="A23" s="356"/>
      <c r="B23" s="295"/>
      <c r="C23" s="295"/>
      <c r="D23" s="295"/>
      <c r="E23" s="231"/>
    </row>
    <row r="24" spans="1:7">
      <c r="A24" s="356"/>
      <c r="B24" s="295"/>
      <c r="C24" s="295"/>
      <c r="D24" s="295"/>
      <c r="E24" s="231"/>
    </row>
    <row r="25" spans="1:7">
      <c r="A25" s="356"/>
      <c r="B25" s="295"/>
      <c r="C25" s="295"/>
      <c r="D25" s="295"/>
      <c r="E25" s="231"/>
    </row>
    <row r="26" spans="1:7">
      <c r="A26" s="356"/>
      <c r="B26" s="295"/>
      <c r="C26" s="295"/>
      <c r="D26" s="295"/>
      <c r="E26" s="231"/>
    </row>
    <row r="27" spans="1:7">
      <c r="A27" s="216"/>
      <c r="B27" s="217"/>
      <c r="C27" s="217"/>
      <c r="D27" s="217"/>
      <c r="E27" s="223"/>
    </row>
    <row r="28" spans="1:7">
      <c r="A28" s="216"/>
      <c r="B28" s="217"/>
      <c r="C28" s="217"/>
      <c r="D28" s="217"/>
      <c r="E28" s="223"/>
    </row>
    <row r="29" spans="1:7">
      <c r="A29" s="226"/>
      <c r="B29" s="204"/>
      <c r="C29" s="204"/>
      <c r="D29" s="227" t="s">
        <v>160</v>
      </c>
      <c r="E29" s="228">
        <f>SUM(E19:E28)</f>
        <v>46.9</v>
      </c>
    </row>
    <row r="30" spans="1:7">
      <c r="A30" s="226"/>
      <c r="B30" s="204"/>
      <c r="C30" s="204"/>
      <c r="D30" s="204"/>
      <c r="E30" s="229"/>
    </row>
    <row r="31" spans="1:7">
      <c r="A31" s="226"/>
      <c r="B31" s="204"/>
      <c r="C31" s="204"/>
      <c r="D31" s="204"/>
      <c r="E31" s="229"/>
    </row>
    <row r="32" spans="1:7" ht="17">
      <c r="A32" s="212" t="s">
        <v>198</v>
      </c>
      <c r="B32" s="212"/>
      <c r="C32" s="137"/>
      <c r="F32" s="155"/>
      <c r="G32" s="106"/>
    </row>
    <row r="33" spans="1:12">
      <c r="A33" s="214" t="s">
        <v>1</v>
      </c>
      <c r="B33" s="214" t="s">
        <v>206</v>
      </c>
      <c r="C33" s="214" t="s">
        <v>38</v>
      </c>
      <c r="D33" s="214" t="s">
        <v>0</v>
      </c>
      <c r="E33" s="215" t="s">
        <v>175</v>
      </c>
    </row>
    <row r="34" spans="1:12">
      <c r="A34" s="216">
        <v>41751</v>
      </c>
      <c r="B34" s="217" t="s">
        <v>342</v>
      </c>
      <c r="C34" s="217" t="s">
        <v>454</v>
      </c>
      <c r="D34" s="230" t="s">
        <v>275</v>
      </c>
      <c r="E34" s="231">
        <v>225</v>
      </c>
    </row>
    <row r="35" spans="1:12">
      <c r="A35" s="216"/>
      <c r="B35" s="224"/>
      <c r="C35" s="225"/>
      <c r="D35" s="232"/>
      <c r="E35" s="231"/>
    </row>
    <row r="36" spans="1:12">
      <c r="A36" s="216"/>
      <c r="B36" s="224"/>
      <c r="C36" s="217"/>
      <c r="D36" s="232"/>
      <c r="E36" s="231"/>
    </row>
    <row r="37" spans="1:12">
      <c r="A37" s="216"/>
      <c r="B37" s="224"/>
      <c r="C37" s="233"/>
      <c r="D37" s="232"/>
      <c r="E37" s="231"/>
      <c r="F37" s="155"/>
    </row>
    <row r="38" spans="1:12">
      <c r="A38" s="216"/>
      <c r="B38" s="224"/>
      <c r="C38" s="217"/>
      <c r="D38" s="232"/>
      <c r="E38" s="231"/>
    </row>
    <row r="39" spans="1:12">
      <c r="A39" s="216"/>
      <c r="B39" s="224"/>
      <c r="C39" s="217"/>
      <c r="D39" s="232"/>
      <c r="E39" s="231"/>
    </row>
    <row r="40" spans="1:12" s="203" customFormat="1">
      <c r="A40" s="226"/>
      <c r="B40" s="234"/>
      <c r="D40" s="227" t="s">
        <v>160</v>
      </c>
      <c r="E40" s="228">
        <f>SUM(E34:E39)</f>
        <v>225</v>
      </c>
    </row>
    <row r="41" spans="1:12" s="203" customFormat="1" ht="17">
      <c r="A41" s="396"/>
      <c r="B41" s="396"/>
      <c r="E41" s="235"/>
    </row>
    <row r="42" spans="1:12" s="203" customFormat="1">
      <c r="A42" s="236"/>
      <c r="D42" s="237"/>
      <c r="E42" s="235"/>
      <c r="G42" s="236"/>
      <c r="K42" s="237"/>
      <c r="L42" s="235"/>
    </row>
    <row r="43" spans="1:12" s="203" customFormat="1">
      <c r="A43" s="236"/>
      <c r="D43" s="238"/>
      <c r="E43" s="235"/>
      <c r="G43" s="236"/>
      <c r="K43" s="238"/>
      <c r="L43" s="235"/>
    </row>
    <row r="44" spans="1:12" s="203" customFormat="1">
      <c r="A44" s="236"/>
      <c r="B44" s="239"/>
      <c r="C44" s="239"/>
      <c r="D44" s="238"/>
      <c r="E44" s="235"/>
      <c r="G44" s="236"/>
      <c r="H44" s="239"/>
      <c r="I44" s="239"/>
      <c r="J44" s="239"/>
      <c r="K44" s="238"/>
      <c r="L44" s="235"/>
    </row>
    <row r="45" spans="1:12" s="203" customFormat="1">
      <c r="A45" s="236"/>
      <c r="B45" s="239"/>
      <c r="C45" s="239"/>
      <c r="D45" s="238"/>
      <c r="E45" s="235"/>
      <c r="G45" s="236"/>
      <c r="H45" s="239"/>
      <c r="I45" s="239"/>
      <c r="J45" s="239"/>
      <c r="K45" s="238"/>
      <c r="L45" s="235"/>
    </row>
    <row r="46" spans="1:12" s="203" customFormat="1">
      <c r="A46" s="236"/>
      <c r="B46" s="239"/>
      <c r="C46" s="239"/>
      <c r="D46" s="238"/>
      <c r="E46" s="235"/>
      <c r="G46" s="236"/>
      <c r="H46" s="239"/>
      <c r="I46" s="239"/>
      <c r="J46" s="239"/>
      <c r="K46" s="238"/>
      <c r="L46" s="235"/>
    </row>
    <row r="47" spans="1:12" s="203" customFormat="1">
      <c r="A47" s="236"/>
      <c r="E47" s="235"/>
    </row>
    <row r="49" spans="1:5">
      <c r="A49" s="240"/>
      <c r="B49" s="181"/>
      <c r="C49" s="176"/>
      <c r="D49" s="181"/>
      <c r="E49" s="156"/>
    </row>
    <row r="51" spans="1:5">
      <c r="B51" s="96"/>
    </row>
    <row r="53" spans="1:5" ht="17">
      <c r="A53" s="394"/>
      <c r="B53" s="394"/>
    </row>
    <row r="55" spans="1:5">
      <c r="A55" s="240"/>
      <c r="B55" s="181"/>
      <c r="C55" s="176"/>
      <c r="D55" s="181"/>
      <c r="E55" s="156"/>
    </row>
    <row r="56" spans="1:5">
      <c r="A56" s="241"/>
    </row>
    <row r="57" spans="1:5" s="242" customFormat="1"/>
    <row r="59" spans="1:5" ht="17">
      <c r="A59" s="394"/>
      <c r="B59" s="394"/>
    </row>
    <row r="60" spans="1:5">
      <c r="A60" s="240"/>
      <c r="B60" s="240"/>
      <c r="C60" s="176"/>
      <c r="D60" s="181"/>
      <c r="E60" s="156"/>
    </row>
    <row r="61" spans="1:5">
      <c r="A61" s="240"/>
      <c r="B61" s="181"/>
      <c r="C61" s="176"/>
      <c r="D61" s="181"/>
      <c r="E61" s="156"/>
    </row>
    <row r="63" spans="1:5">
      <c r="B63" s="96"/>
    </row>
    <row r="65" spans="1:5" ht="17">
      <c r="A65" s="394"/>
      <c r="B65" s="394"/>
    </row>
    <row r="67" spans="1:5">
      <c r="A67" s="240"/>
      <c r="B67" s="181"/>
      <c r="C67" s="176"/>
      <c r="D67" s="181"/>
      <c r="E67" s="156"/>
    </row>
    <row r="68" spans="1:5">
      <c r="A68" s="240"/>
      <c r="B68" s="181"/>
      <c r="C68" s="176"/>
      <c r="D68" s="181"/>
      <c r="E68" s="156"/>
    </row>
    <row r="69" spans="1:5">
      <c r="A69" s="154"/>
      <c r="B69" s="153"/>
      <c r="C69" s="106"/>
      <c r="D69" s="153"/>
      <c r="E69" s="107"/>
    </row>
    <row r="70" spans="1:5">
      <c r="B70" s="96"/>
    </row>
    <row r="72" spans="1:5" ht="17">
      <c r="A72" s="394"/>
      <c r="B72" s="394"/>
    </row>
    <row r="74" spans="1:5">
      <c r="A74" s="240"/>
      <c r="B74" s="181"/>
      <c r="C74" s="176"/>
      <c r="D74" s="181"/>
      <c r="E74" s="156"/>
    </row>
    <row r="76" spans="1:5">
      <c r="B76" s="96"/>
    </row>
    <row r="78" spans="1:5" ht="17">
      <c r="A78" s="394"/>
      <c r="B78" s="394"/>
    </row>
    <row r="80" spans="1:5">
      <c r="A80" s="243"/>
      <c r="B80" s="181"/>
      <c r="C80" s="176"/>
      <c r="D80" s="181"/>
      <c r="E80" s="180"/>
    </row>
    <row r="82" spans="1:5">
      <c r="B82" s="96"/>
    </row>
    <row r="83" spans="1:5">
      <c r="B83" s="96"/>
    </row>
    <row r="84" spans="1:5" ht="17">
      <c r="A84" s="394"/>
      <c r="B84" s="394"/>
    </row>
    <row r="86" spans="1:5">
      <c r="A86" s="243"/>
      <c r="B86" s="181"/>
      <c r="C86" s="176"/>
      <c r="D86" s="181"/>
      <c r="E86" s="180"/>
    </row>
    <row r="87" spans="1:5">
      <c r="A87" s="243"/>
      <c r="B87" s="181"/>
      <c r="C87" s="176"/>
      <c r="D87" s="181"/>
      <c r="E87" s="180"/>
    </row>
    <row r="89" spans="1:5">
      <c r="B89" s="96"/>
    </row>
    <row r="91" spans="1:5">
      <c r="D91" s="244"/>
    </row>
    <row r="93" spans="1:5" ht="17">
      <c r="A93" s="394"/>
      <c r="B93" s="394"/>
    </row>
    <row r="95" spans="1:5">
      <c r="A95" s="243"/>
      <c r="B95" s="181"/>
      <c r="C95" s="176"/>
      <c r="D95" s="181"/>
      <c r="E95" s="180"/>
    </row>
    <row r="97" spans="1:5">
      <c r="B97" s="96"/>
    </row>
    <row r="99" spans="1:5">
      <c r="D99" s="244"/>
    </row>
    <row r="101" spans="1:5" ht="17">
      <c r="A101" s="394"/>
      <c r="B101" s="394"/>
    </row>
    <row r="103" spans="1:5">
      <c r="A103" s="243"/>
      <c r="B103" s="181"/>
      <c r="C103" s="176"/>
      <c r="D103" s="181"/>
      <c r="E103" s="180"/>
    </row>
    <row r="104" spans="1:5">
      <c r="A104" s="243"/>
      <c r="B104" s="181"/>
      <c r="C104" s="176"/>
      <c r="D104" s="181"/>
      <c r="E104" s="180"/>
    </row>
    <row r="106" spans="1:5">
      <c r="B106" s="96"/>
    </row>
    <row r="109" spans="1:5" ht="17">
      <c r="A109" s="394"/>
      <c r="B109" s="394"/>
    </row>
    <row r="111" spans="1:5">
      <c r="A111" s="243"/>
      <c r="B111" s="181"/>
      <c r="C111" s="176"/>
      <c r="D111" s="181"/>
      <c r="E111" s="180"/>
    </row>
    <row r="112" spans="1:5">
      <c r="A112" s="243"/>
      <c r="B112" s="181"/>
      <c r="C112" s="176"/>
      <c r="D112" s="181"/>
      <c r="E112" s="180"/>
    </row>
    <row r="114" spans="1:5">
      <c r="B114" s="96"/>
    </row>
    <row r="116" spans="1:5" ht="17">
      <c r="A116" s="394"/>
      <c r="B116" s="394"/>
    </row>
    <row r="118" spans="1:5">
      <c r="A118" s="243"/>
      <c r="B118" s="181"/>
      <c r="C118" s="176"/>
      <c r="D118" s="181"/>
      <c r="E118" s="180"/>
    </row>
    <row r="119" spans="1:5">
      <c r="A119" s="243"/>
      <c r="B119" s="181"/>
      <c r="C119" s="176"/>
      <c r="D119" s="181"/>
      <c r="E119" s="180"/>
    </row>
    <row r="121" spans="1:5">
      <c r="B121" s="96"/>
    </row>
  </sheetData>
  <mergeCells count="12">
    <mergeCell ref="A116:B116"/>
    <mergeCell ref="A101:B101"/>
    <mergeCell ref="A93:B93"/>
    <mergeCell ref="A84:B84"/>
    <mergeCell ref="A1:B1"/>
    <mergeCell ref="A41:B41"/>
    <mergeCell ref="A109:B109"/>
    <mergeCell ref="A78:B78"/>
    <mergeCell ref="A53:B53"/>
    <mergeCell ref="A59:B59"/>
    <mergeCell ref="A65:B65"/>
    <mergeCell ref="A72:B72"/>
  </mergeCells>
  <phoneticPr fontId="5" type="noConversion"/>
  <pageMargins left="0.75" right="0.75" top="1" bottom="1" header="0.5" footer="0.5"/>
  <pageSetup orientation="portrait" horizontalDpi="300" verticalDpi="300"/>
  <headerFooter alignWithMargins="0"/>
  <rowBreaks count="1" manualBreakCount="1">
    <brk id="5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24"/>
  <sheetViews>
    <sheetView zoomScale="70" zoomScaleNormal="70" zoomScalePageLayoutView="70" workbookViewId="0">
      <selection activeCell="E69" sqref="E69"/>
    </sheetView>
  </sheetViews>
  <sheetFormatPr baseColWidth="10" defaultColWidth="9.1640625" defaultRowHeight="18" x14ac:dyDescent="0"/>
  <cols>
    <col min="1" max="1" width="16.5" style="313" bestFit="1" customWidth="1"/>
    <col min="2" max="2" width="30.33203125" style="209" bestFit="1" customWidth="1"/>
    <col min="3" max="3" width="15.5" style="209" bestFit="1" customWidth="1"/>
    <col min="4" max="4" width="15.5" style="309" customWidth="1"/>
    <col min="5" max="5" width="15.33203125" style="209" customWidth="1"/>
    <col min="6" max="6" width="14.83203125" style="209" customWidth="1"/>
    <col min="7" max="7" width="15.83203125" style="309" customWidth="1"/>
    <col min="8" max="8" width="17.6640625" style="209" customWidth="1"/>
    <col min="9" max="9" width="10.33203125" style="309" customWidth="1"/>
    <col min="10" max="10" width="38" style="309" bestFit="1" customWidth="1"/>
    <col min="11" max="11" width="16.5" style="309" bestFit="1" customWidth="1"/>
    <col min="12" max="12" width="12.33203125" style="178" customWidth="1"/>
    <col min="13" max="13" width="9.5" style="95" bestFit="1" customWidth="1"/>
    <col min="14" max="14" width="8.1640625" style="95" customWidth="1"/>
    <col min="15" max="15" width="11.5" style="95" customWidth="1"/>
    <col min="16" max="16384" width="9.1640625" style="95"/>
  </cols>
  <sheetData>
    <row r="1" spans="1:18" ht="28.5" customHeight="1">
      <c r="A1" s="398" t="s">
        <v>345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245"/>
      <c r="M1" s="245"/>
      <c r="N1" s="245"/>
    </row>
    <row r="2" spans="1:18" ht="28.5" customHeight="1">
      <c r="A2" s="341" t="s">
        <v>63</v>
      </c>
      <c r="B2" s="342"/>
      <c r="C2" s="342"/>
      <c r="D2" s="342"/>
      <c r="E2" s="310" t="s">
        <v>111</v>
      </c>
      <c r="F2" s="342"/>
      <c r="G2" s="342"/>
      <c r="H2" s="343"/>
      <c r="I2" s="310"/>
      <c r="J2" s="310"/>
      <c r="K2" s="344"/>
    </row>
    <row r="3" spans="1:18" ht="27.75" customHeight="1">
      <c r="A3" s="345" t="s">
        <v>1</v>
      </c>
      <c r="B3" s="265" t="s">
        <v>34</v>
      </c>
      <c r="C3" s="265" t="s">
        <v>33</v>
      </c>
      <c r="D3" s="265" t="s">
        <v>325</v>
      </c>
      <c r="E3" s="265" t="s">
        <v>106</v>
      </c>
      <c r="F3" s="265" t="s">
        <v>107</v>
      </c>
      <c r="G3" s="265" t="s">
        <v>108</v>
      </c>
      <c r="H3" s="265" t="s">
        <v>109</v>
      </c>
      <c r="I3" s="265" t="s">
        <v>110</v>
      </c>
      <c r="J3" s="346" t="s">
        <v>113</v>
      </c>
      <c r="K3" s="265" t="s">
        <v>227</v>
      </c>
      <c r="L3" s="95"/>
    </row>
    <row r="4" spans="1:18" s="362" customFormat="1">
      <c r="A4" s="358"/>
      <c r="B4" s="360" t="s">
        <v>346</v>
      </c>
      <c r="C4" s="360" t="s">
        <v>347</v>
      </c>
      <c r="D4" s="359" t="s">
        <v>326</v>
      </c>
      <c r="E4" s="360" t="s">
        <v>290</v>
      </c>
      <c r="F4" s="360"/>
      <c r="G4" s="369">
        <v>9705542</v>
      </c>
      <c r="H4" s="360"/>
      <c r="I4" s="359"/>
      <c r="J4" s="370" t="s">
        <v>398</v>
      </c>
      <c r="K4" s="361"/>
      <c r="M4" s="363"/>
      <c r="N4" s="363"/>
      <c r="O4" s="364"/>
      <c r="P4" s="364"/>
      <c r="Q4" s="364"/>
      <c r="R4" s="365"/>
    </row>
    <row r="5" spans="1:18" s="362" customFormat="1">
      <c r="A5" s="358"/>
      <c r="B5" s="360" t="s">
        <v>348</v>
      </c>
      <c r="C5" s="360" t="s">
        <v>349</v>
      </c>
      <c r="D5" s="359" t="s">
        <v>326</v>
      </c>
      <c r="E5" s="360" t="s">
        <v>289</v>
      </c>
      <c r="F5" s="360"/>
      <c r="G5" s="369"/>
      <c r="H5" s="360"/>
      <c r="I5" s="359"/>
      <c r="J5" s="370" t="s">
        <v>399</v>
      </c>
      <c r="K5" s="361"/>
      <c r="L5" s="366"/>
      <c r="M5" s="363"/>
      <c r="N5" s="363"/>
      <c r="O5" s="364"/>
      <c r="P5" s="364"/>
      <c r="Q5" s="364"/>
      <c r="R5" s="365"/>
    </row>
    <row r="6" spans="1:18" s="137" customFormat="1">
      <c r="A6" s="302">
        <v>41347</v>
      </c>
      <c r="B6" s="249" t="s">
        <v>350</v>
      </c>
      <c r="C6" s="249" t="s">
        <v>351</v>
      </c>
      <c r="D6" s="266" t="s">
        <v>326</v>
      </c>
      <c r="E6" s="249" t="s">
        <v>289</v>
      </c>
      <c r="F6" s="249"/>
      <c r="G6" s="371"/>
      <c r="H6" s="249"/>
      <c r="I6" s="266" t="s">
        <v>291</v>
      </c>
      <c r="J6" s="372" t="s">
        <v>400</v>
      </c>
      <c r="K6" s="301">
        <v>33151</v>
      </c>
      <c r="L6" s="183"/>
      <c r="M6" s="285"/>
      <c r="N6" s="285"/>
      <c r="O6" s="286"/>
      <c r="P6" s="286"/>
      <c r="Q6" s="286"/>
      <c r="R6" s="287"/>
    </row>
    <row r="7" spans="1:18" s="362" customFormat="1">
      <c r="A7" s="358"/>
      <c r="B7" s="360" t="s">
        <v>352</v>
      </c>
      <c r="C7" s="360" t="s">
        <v>353</v>
      </c>
      <c r="D7" s="359" t="s">
        <v>326</v>
      </c>
      <c r="E7" s="360" t="s">
        <v>79</v>
      </c>
      <c r="F7" s="360"/>
      <c r="G7" s="369">
        <v>9124043</v>
      </c>
      <c r="H7" s="360"/>
      <c r="I7" s="359"/>
      <c r="J7" s="370" t="s">
        <v>298</v>
      </c>
      <c r="K7" s="361"/>
      <c r="L7" s="366"/>
      <c r="M7" s="363"/>
      <c r="N7" s="363"/>
      <c r="O7" s="364"/>
      <c r="P7" s="364"/>
      <c r="Q7" s="364"/>
      <c r="R7" s="365"/>
    </row>
    <row r="8" spans="1:18" s="137" customFormat="1">
      <c r="A8" s="302">
        <v>41347</v>
      </c>
      <c r="B8" s="249" t="s">
        <v>354</v>
      </c>
      <c r="C8" s="249" t="s">
        <v>355</v>
      </c>
      <c r="D8" s="266" t="s">
        <v>326</v>
      </c>
      <c r="E8" s="249" t="s">
        <v>290</v>
      </c>
      <c r="F8" s="249"/>
      <c r="G8" s="371"/>
      <c r="H8" s="249"/>
      <c r="I8" s="266"/>
      <c r="J8" s="372" t="s">
        <v>401</v>
      </c>
      <c r="K8" s="301"/>
      <c r="L8" s="183"/>
      <c r="M8" s="288"/>
      <c r="N8" s="288"/>
      <c r="O8" s="286"/>
      <c r="P8" s="286"/>
      <c r="Q8" s="286"/>
      <c r="R8" s="287"/>
    </row>
    <row r="9" spans="1:18" s="362" customFormat="1">
      <c r="A9" s="358"/>
      <c r="B9" s="360" t="s">
        <v>356</v>
      </c>
      <c r="C9" s="360" t="s">
        <v>357</v>
      </c>
      <c r="D9" s="359" t="s">
        <v>326</v>
      </c>
      <c r="E9" s="360" t="s">
        <v>289</v>
      </c>
      <c r="F9" s="360"/>
      <c r="G9" s="369">
        <v>994578</v>
      </c>
      <c r="H9" s="360"/>
      <c r="I9" s="359"/>
      <c r="J9" s="370" t="s">
        <v>402</v>
      </c>
      <c r="K9" s="361">
        <v>33469</v>
      </c>
      <c r="M9" s="363"/>
      <c r="N9" s="363"/>
      <c r="O9" s="364"/>
      <c r="P9" s="364"/>
      <c r="Q9" s="364"/>
      <c r="R9" s="365"/>
    </row>
    <row r="10" spans="1:18" s="362" customFormat="1">
      <c r="A10" s="358"/>
      <c r="B10" s="360" t="s">
        <v>264</v>
      </c>
      <c r="C10" s="360" t="s">
        <v>287</v>
      </c>
      <c r="D10" s="359" t="s">
        <v>326</v>
      </c>
      <c r="E10" s="360" t="s">
        <v>289</v>
      </c>
      <c r="F10" s="360"/>
      <c r="G10" s="369">
        <v>9123345</v>
      </c>
      <c r="H10" s="360"/>
      <c r="I10" s="359"/>
      <c r="J10" s="370" t="s">
        <v>302</v>
      </c>
      <c r="K10" s="361"/>
      <c r="M10" s="363"/>
      <c r="N10" s="363"/>
      <c r="O10" s="364"/>
      <c r="P10" s="364"/>
      <c r="Q10" s="364"/>
      <c r="R10" s="365"/>
    </row>
    <row r="11" spans="1:18" s="362" customFormat="1">
      <c r="A11" s="358"/>
      <c r="B11" s="360" t="s">
        <v>358</v>
      </c>
      <c r="C11" s="360" t="s">
        <v>313</v>
      </c>
      <c r="D11" s="359" t="s">
        <v>326</v>
      </c>
      <c r="E11" s="360" t="s">
        <v>289</v>
      </c>
      <c r="F11" s="360"/>
      <c r="G11" s="369">
        <v>9423852</v>
      </c>
      <c r="H11" s="360"/>
      <c r="I11" s="359" t="s">
        <v>292</v>
      </c>
      <c r="J11" s="370" t="s">
        <v>403</v>
      </c>
      <c r="K11" s="361">
        <v>33838</v>
      </c>
      <c r="M11" s="363"/>
      <c r="N11" s="363"/>
      <c r="O11" s="364"/>
      <c r="P11" s="364"/>
      <c r="Q11" s="364"/>
      <c r="R11" s="365"/>
    </row>
    <row r="12" spans="1:18" s="362" customFormat="1">
      <c r="A12" s="358"/>
      <c r="B12" s="360" t="s">
        <v>335</v>
      </c>
      <c r="C12" s="360" t="s">
        <v>336</v>
      </c>
      <c r="D12" s="359" t="s">
        <v>326</v>
      </c>
      <c r="E12" s="360" t="s">
        <v>210</v>
      </c>
      <c r="F12" s="360"/>
      <c r="G12" s="369"/>
      <c r="H12" s="360"/>
      <c r="I12" s="359"/>
      <c r="J12" s="370" t="s">
        <v>404</v>
      </c>
      <c r="K12" s="361"/>
      <c r="M12" s="363"/>
      <c r="N12" s="363"/>
      <c r="O12" s="364"/>
      <c r="P12" s="364"/>
      <c r="Q12" s="364"/>
      <c r="R12" s="365"/>
    </row>
    <row r="13" spans="1:18" s="137" customFormat="1">
      <c r="A13" s="302">
        <v>41191</v>
      </c>
      <c r="B13" s="249" t="s">
        <v>359</v>
      </c>
      <c r="C13" s="249" t="s">
        <v>360</v>
      </c>
      <c r="D13" s="266" t="s">
        <v>326</v>
      </c>
      <c r="E13" s="249"/>
      <c r="F13" s="249"/>
      <c r="G13" s="371"/>
      <c r="H13" s="249"/>
      <c r="I13" s="266" t="s">
        <v>293</v>
      </c>
      <c r="J13" s="372" t="s">
        <v>405</v>
      </c>
      <c r="K13" s="301">
        <v>33043</v>
      </c>
      <c r="M13" s="285"/>
      <c r="N13" s="285"/>
      <c r="O13" s="286"/>
      <c r="P13" s="286"/>
      <c r="Q13" s="286"/>
      <c r="R13" s="287"/>
    </row>
    <row r="14" spans="1:18" s="362" customFormat="1">
      <c r="A14" s="358">
        <v>41158</v>
      </c>
      <c r="B14" s="360" t="s">
        <v>361</v>
      </c>
      <c r="C14" s="360" t="s">
        <v>275</v>
      </c>
      <c r="D14" s="359" t="s">
        <v>326</v>
      </c>
      <c r="E14" s="360" t="s">
        <v>210</v>
      </c>
      <c r="F14" s="360"/>
      <c r="G14" s="369"/>
      <c r="H14" s="360"/>
      <c r="I14" s="359" t="s">
        <v>211</v>
      </c>
      <c r="J14" s="370" t="s">
        <v>297</v>
      </c>
      <c r="K14" s="361">
        <v>33240</v>
      </c>
      <c r="M14" s="363"/>
      <c r="N14" s="363"/>
      <c r="O14" s="364"/>
      <c r="P14" s="364"/>
      <c r="Q14" s="364"/>
      <c r="R14" s="365"/>
    </row>
    <row r="15" spans="1:18" s="362" customFormat="1">
      <c r="A15" s="358">
        <v>41158</v>
      </c>
      <c r="B15" s="360" t="s">
        <v>266</v>
      </c>
      <c r="C15" s="360" t="s">
        <v>314</v>
      </c>
      <c r="D15" s="359" t="s">
        <v>326</v>
      </c>
      <c r="E15" s="360" t="s">
        <v>210</v>
      </c>
      <c r="F15" s="360"/>
      <c r="G15" s="369"/>
      <c r="H15" s="360"/>
      <c r="I15" s="359" t="s">
        <v>211</v>
      </c>
      <c r="J15" s="370" t="s">
        <v>306</v>
      </c>
      <c r="K15" s="361">
        <v>33436</v>
      </c>
      <c r="M15" s="363"/>
      <c r="N15" s="363"/>
      <c r="O15" s="367"/>
      <c r="P15" s="364"/>
      <c r="Q15" s="364"/>
      <c r="R15" s="365"/>
    </row>
    <row r="16" spans="1:18" s="362" customFormat="1">
      <c r="A16" s="358">
        <v>41158</v>
      </c>
      <c r="B16" s="360" t="s">
        <v>259</v>
      </c>
      <c r="C16" s="360" t="s">
        <v>279</v>
      </c>
      <c r="D16" s="359" t="s">
        <v>326</v>
      </c>
      <c r="E16" s="360" t="s">
        <v>303</v>
      </c>
      <c r="F16" s="360"/>
      <c r="G16" s="369">
        <v>9425355</v>
      </c>
      <c r="H16" s="360"/>
      <c r="I16" s="359" t="s">
        <v>211</v>
      </c>
      <c r="J16" s="370" t="s">
        <v>300</v>
      </c>
      <c r="K16" s="361">
        <v>33295</v>
      </c>
      <c r="M16" s="363"/>
      <c r="N16" s="363"/>
      <c r="O16" s="364"/>
      <c r="P16" s="364"/>
      <c r="Q16" s="364"/>
      <c r="R16" s="365"/>
    </row>
    <row r="17" spans="1:18" s="362" customFormat="1">
      <c r="A17" s="358">
        <v>41172</v>
      </c>
      <c r="B17" s="360" t="s">
        <v>256</v>
      </c>
      <c r="C17" s="360" t="s">
        <v>276</v>
      </c>
      <c r="D17" s="359" t="s">
        <v>326</v>
      </c>
      <c r="E17" s="360" t="s">
        <v>210</v>
      </c>
      <c r="F17" s="360"/>
      <c r="G17" s="369">
        <v>9135543</v>
      </c>
      <c r="H17" s="360"/>
      <c r="I17" s="359" t="s">
        <v>291</v>
      </c>
      <c r="J17" s="370" t="s">
        <v>406</v>
      </c>
      <c r="K17" s="361">
        <v>33794</v>
      </c>
      <c r="M17" s="363"/>
      <c r="N17" s="363"/>
      <c r="O17" s="364"/>
      <c r="P17" s="364"/>
      <c r="Q17" s="364"/>
      <c r="R17" s="365"/>
    </row>
    <row r="18" spans="1:18" s="137" customFormat="1">
      <c r="A18" s="302"/>
      <c r="B18" s="249" t="s">
        <v>362</v>
      </c>
      <c r="C18" s="249" t="s">
        <v>363</v>
      </c>
      <c r="D18" s="266" t="s">
        <v>326</v>
      </c>
      <c r="E18" s="249" t="s">
        <v>289</v>
      </c>
      <c r="F18" s="249"/>
      <c r="G18" s="371"/>
      <c r="H18" s="249"/>
      <c r="I18" s="266" t="s">
        <v>211</v>
      </c>
      <c r="J18" s="372" t="s">
        <v>407</v>
      </c>
      <c r="K18" s="301">
        <v>33072</v>
      </c>
      <c r="M18" s="285"/>
      <c r="N18" s="285"/>
      <c r="O18" s="286"/>
      <c r="P18" s="286"/>
      <c r="Q18" s="286"/>
      <c r="R18" s="287"/>
    </row>
    <row r="19" spans="1:18" s="362" customFormat="1">
      <c r="A19" s="358">
        <v>41221</v>
      </c>
      <c r="B19" s="360" t="s">
        <v>364</v>
      </c>
      <c r="C19" s="360" t="s">
        <v>365</v>
      </c>
      <c r="D19" s="359" t="s">
        <v>326</v>
      </c>
      <c r="E19" s="360" t="s">
        <v>289</v>
      </c>
      <c r="F19" s="360"/>
      <c r="G19" s="369">
        <v>9553864</v>
      </c>
      <c r="H19" s="360"/>
      <c r="I19" s="359"/>
      <c r="J19" s="370" t="s">
        <v>408</v>
      </c>
      <c r="K19" s="361"/>
      <c r="M19" s="363"/>
      <c r="N19" s="363"/>
      <c r="O19" s="364"/>
      <c r="P19" s="364"/>
      <c r="Q19" s="364"/>
      <c r="R19" s="365"/>
    </row>
    <row r="20" spans="1:18" s="362" customFormat="1">
      <c r="A20" s="358"/>
      <c r="B20" s="360" t="s">
        <v>265</v>
      </c>
      <c r="C20" s="360" t="s">
        <v>288</v>
      </c>
      <c r="D20" s="359" t="s">
        <v>326</v>
      </c>
      <c r="E20" s="360" t="s">
        <v>289</v>
      </c>
      <c r="F20" s="360"/>
      <c r="G20" s="369"/>
      <c r="H20" s="360"/>
      <c r="I20" s="359" t="s">
        <v>211</v>
      </c>
      <c r="J20" s="370" t="s">
        <v>305</v>
      </c>
      <c r="K20" s="361">
        <v>31517</v>
      </c>
      <c r="M20" s="363"/>
      <c r="N20" s="363"/>
      <c r="O20" s="364"/>
      <c r="P20" s="364"/>
      <c r="Q20" s="364"/>
      <c r="R20" s="365"/>
    </row>
    <row r="21" spans="1:18" s="137" customFormat="1">
      <c r="A21" s="302">
        <v>41172</v>
      </c>
      <c r="B21" s="249" t="s">
        <v>366</v>
      </c>
      <c r="C21" s="249" t="s">
        <v>367</v>
      </c>
      <c r="D21" s="266" t="s">
        <v>326</v>
      </c>
      <c r="E21" s="249" t="s">
        <v>290</v>
      </c>
      <c r="F21" s="249"/>
      <c r="G21" s="371"/>
      <c r="H21" s="249"/>
      <c r="I21" s="266" t="s">
        <v>294</v>
      </c>
      <c r="J21" s="372" t="s">
        <v>409</v>
      </c>
      <c r="K21" s="301">
        <v>34086</v>
      </c>
      <c r="M21" s="285"/>
      <c r="N21" s="285"/>
      <c r="O21" s="286"/>
      <c r="P21" s="286"/>
      <c r="Q21" s="286"/>
      <c r="R21" s="287"/>
    </row>
    <row r="22" spans="1:18" s="137" customFormat="1">
      <c r="A22" s="302"/>
      <c r="B22" s="249" t="s">
        <v>258</v>
      </c>
      <c r="C22" s="249" t="s">
        <v>278</v>
      </c>
      <c r="D22" s="266" t="s">
        <v>326</v>
      </c>
      <c r="E22" s="249" t="s">
        <v>210</v>
      </c>
      <c r="F22" s="249"/>
      <c r="G22" s="371"/>
      <c r="H22" s="249"/>
      <c r="I22" s="266" t="s">
        <v>211</v>
      </c>
      <c r="J22" s="372" t="s">
        <v>299</v>
      </c>
      <c r="K22" s="301">
        <v>33665</v>
      </c>
      <c r="M22" s="285"/>
      <c r="N22" s="285"/>
      <c r="O22" s="286"/>
      <c r="P22" s="286"/>
      <c r="Q22" s="286"/>
      <c r="R22" s="287"/>
    </row>
    <row r="23" spans="1:18" s="137" customFormat="1">
      <c r="A23" s="302">
        <v>41158</v>
      </c>
      <c r="B23" s="249" t="s">
        <v>333</v>
      </c>
      <c r="C23" s="249" t="s">
        <v>334</v>
      </c>
      <c r="D23" s="266" t="s">
        <v>326</v>
      </c>
      <c r="E23" s="249" t="s">
        <v>303</v>
      </c>
      <c r="F23" s="249"/>
      <c r="G23" s="371"/>
      <c r="H23" s="249"/>
      <c r="I23" s="266" t="s">
        <v>211</v>
      </c>
      <c r="J23" s="372" t="s">
        <v>410</v>
      </c>
      <c r="K23" s="301">
        <v>41064</v>
      </c>
      <c r="M23" s="285"/>
      <c r="N23" s="285"/>
      <c r="O23" s="286"/>
      <c r="P23" s="286"/>
      <c r="Q23" s="286"/>
      <c r="R23" s="287"/>
    </row>
    <row r="24" spans="1:18" s="137" customFormat="1">
      <c r="A24" s="302">
        <v>41221</v>
      </c>
      <c r="B24" s="249" t="s">
        <v>368</v>
      </c>
      <c r="C24" s="249" t="s">
        <v>369</v>
      </c>
      <c r="D24" s="266" t="s">
        <v>326</v>
      </c>
      <c r="E24" s="249"/>
      <c r="F24" s="249"/>
      <c r="G24" s="371"/>
      <c r="H24" s="249"/>
      <c r="I24" s="266" t="s">
        <v>293</v>
      </c>
      <c r="J24" s="372" t="s">
        <v>411</v>
      </c>
      <c r="K24" s="301">
        <v>33666</v>
      </c>
      <c r="M24" s="285"/>
      <c r="N24" s="285"/>
      <c r="O24" s="286"/>
      <c r="P24" s="286"/>
      <c r="Q24" s="286"/>
      <c r="R24" s="287"/>
    </row>
    <row r="25" spans="1:18" s="137" customFormat="1">
      <c r="A25" s="302"/>
      <c r="B25" s="249" t="s">
        <v>250</v>
      </c>
      <c r="C25" s="249" t="s">
        <v>269</v>
      </c>
      <c r="D25" s="266" t="s">
        <v>326</v>
      </c>
      <c r="E25" s="249" t="s">
        <v>79</v>
      </c>
      <c r="F25" s="249"/>
      <c r="G25" s="371"/>
      <c r="H25" s="249"/>
      <c r="I25" s="266"/>
      <c r="J25" s="371"/>
      <c r="K25" s="301">
        <v>31724</v>
      </c>
      <c r="M25" s="285"/>
      <c r="N25" s="285"/>
      <c r="O25" s="286"/>
      <c r="P25" s="286"/>
      <c r="Q25" s="286"/>
      <c r="R25" s="287"/>
    </row>
    <row r="26" spans="1:18" s="362" customFormat="1">
      <c r="A26" s="358">
        <v>41163</v>
      </c>
      <c r="B26" s="360" t="s">
        <v>370</v>
      </c>
      <c r="C26" s="360" t="s">
        <v>318</v>
      </c>
      <c r="D26" s="359" t="s">
        <v>326</v>
      </c>
      <c r="E26" s="360" t="s">
        <v>289</v>
      </c>
      <c r="F26" s="360"/>
      <c r="G26" s="369">
        <v>9508738</v>
      </c>
      <c r="H26" s="360"/>
      <c r="I26" s="359" t="s">
        <v>292</v>
      </c>
      <c r="J26" s="370" t="s">
        <v>412</v>
      </c>
      <c r="K26" s="361">
        <v>33267</v>
      </c>
      <c r="L26" s="368"/>
      <c r="M26" s="363"/>
      <c r="N26" s="363"/>
      <c r="O26" s="364"/>
      <c r="P26" s="364"/>
      <c r="Q26" s="364"/>
      <c r="R26" s="365"/>
    </row>
    <row r="27" spans="1:18" s="137" customFormat="1">
      <c r="A27" s="302">
        <v>41172</v>
      </c>
      <c r="B27" s="249" t="s">
        <v>262</v>
      </c>
      <c r="C27" s="249" t="s">
        <v>285</v>
      </c>
      <c r="D27" s="266" t="s">
        <v>326</v>
      </c>
      <c r="E27" s="249" t="s">
        <v>210</v>
      </c>
      <c r="F27" s="249"/>
      <c r="G27" s="371"/>
      <c r="H27" s="249"/>
      <c r="I27" s="266" t="s">
        <v>294</v>
      </c>
      <c r="J27" s="371"/>
      <c r="K27" s="301">
        <v>33584</v>
      </c>
      <c r="M27" s="285"/>
      <c r="N27" s="285"/>
      <c r="O27" s="286"/>
      <c r="P27" s="286"/>
      <c r="Q27" s="286"/>
      <c r="R27" s="287"/>
    </row>
    <row r="28" spans="1:18" s="362" customFormat="1">
      <c r="A28" s="358"/>
      <c r="B28" s="360" t="s">
        <v>255</v>
      </c>
      <c r="C28" s="360" t="s">
        <v>339</v>
      </c>
      <c r="D28" s="359" t="s">
        <v>326</v>
      </c>
      <c r="E28" s="360" t="s">
        <v>210</v>
      </c>
      <c r="F28" s="360"/>
      <c r="G28" s="369"/>
      <c r="H28" s="360"/>
      <c r="I28" s="359" t="s">
        <v>293</v>
      </c>
      <c r="J28" s="370" t="s">
        <v>296</v>
      </c>
      <c r="K28" s="358">
        <v>33220</v>
      </c>
      <c r="M28" s="363"/>
      <c r="N28" s="363"/>
      <c r="O28" s="364"/>
      <c r="P28" s="364"/>
      <c r="Q28" s="364"/>
      <c r="R28" s="365"/>
    </row>
    <row r="29" spans="1:18" s="362" customFormat="1">
      <c r="A29" s="358">
        <v>41151</v>
      </c>
      <c r="B29" s="360" t="s">
        <v>257</v>
      </c>
      <c r="C29" s="360" t="s">
        <v>277</v>
      </c>
      <c r="D29" s="359" t="s">
        <v>326</v>
      </c>
      <c r="E29" s="360" t="s">
        <v>210</v>
      </c>
      <c r="F29" s="360"/>
      <c r="G29" s="369">
        <v>9140844</v>
      </c>
      <c r="H29" s="360"/>
      <c r="I29" s="359" t="s">
        <v>291</v>
      </c>
      <c r="J29" s="369"/>
      <c r="K29" s="361">
        <v>33230</v>
      </c>
      <c r="M29" s="363"/>
      <c r="N29" s="363"/>
      <c r="O29" s="364"/>
      <c r="P29" s="364"/>
      <c r="Q29" s="364"/>
      <c r="R29" s="365"/>
    </row>
    <row r="30" spans="1:18" s="362" customFormat="1">
      <c r="A30" s="358"/>
      <c r="B30" s="360" t="s">
        <v>248</v>
      </c>
      <c r="C30" s="360" t="s">
        <v>267</v>
      </c>
      <c r="D30" s="359" t="s">
        <v>326</v>
      </c>
      <c r="E30" s="360" t="s">
        <v>210</v>
      </c>
      <c r="F30" s="360"/>
      <c r="G30" s="369"/>
      <c r="H30" s="360"/>
      <c r="I30" s="359"/>
      <c r="J30" s="369"/>
      <c r="K30" s="361"/>
      <c r="M30" s="363"/>
      <c r="N30" s="363"/>
      <c r="O30" s="364"/>
      <c r="P30" s="364"/>
      <c r="Q30" s="364"/>
      <c r="R30" s="365"/>
    </row>
    <row r="31" spans="1:18" s="137" customFormat="1">
      <c r="A31" s="302"/>
      <c r="B31" s="249" t="s">
        <v>254</v>
      </c>
      <c r="C31" s="249" t="s">
        <v>274</v>
      </c>
      <c r="D31" s="266" t="s">
        <v>326</v>
      </c>
      <c r="E31" s="249" t="s">
        <v>210</v>
      </c>
      <c r="F31" s="249"/>
      <c r="G31" s="371"/>
      <c r="H31" s="249"/>
      <c r="I31" s="266"/>
      <c r="J31" s="371"/>
      <c r="K31" s="301"/>
      <c r="M31" s="285"/>
      <c r="N31" s="285"/>
      <c r="O31" s="286"/>
      <c r="P31" s="286"/>
      <c r="Q31" s="286"/>
      <c r="R31" s="287"/>
    </row>
    <row r="32" spans="1:18" s="362" customFormat="1">
      <c r="A32" s="358"/>
      <c r="B32" s="360" t="s">
        <v>309</v>
      </c>
      <c r="C32" s="360" t="s">
        <v>308</v>
      </c>
      <c r="D32" s="359" t="s">
        <v>326</v>
      </c>
      <c r="E32" s="360" t="s">
        <v>210</v>
      </c>
      <c r="F32" s="360"/>
      <c r="G32" s="369">
        <v>9152502</v>
      </c>
      <c r="H32" s="360"/>
      <c r="I32" s="359" t="s">
        <v>211</v>
      </c>
      <c r="J32" s="370" t="s">
        <v>310</v>
      </c>
      <c r="K32" s="358">
        <v>32681</v>
      </c>
      <c r="M32" s="363"/>
      <c r="N32" s="363"/>
      <c r="O32" s="364"/>
      <c r="P32" s="364"/>
      <c r="Q32" s="364"/>
      <c r="R32" s="365"/>
    </row>
    <row r="33" spans="1:18" s="362" customFormat="1">
      <c r="A33" s="358">
        <v>41191</v>
      </c>
      <c r="B33" s="369" t="s">
        <v>260</v>
      </c>
      <c r="C33" s="369" t="s">
        <v>280</v>
      </c>
      <c r="D33" s="359" t="s">
        <v>326</v>
      </c>
      <c r="E33" s="360" t="s">
        <v>303</v>
      </c>
      <c r="F33" s="360"/>
      <c r="G33" s="369">
        <v>9410415</v>
      </c>
      <c r="H33" s="360"/>
      <c r="I33" s="359" t="s">
        <v>291</v>
      </c>
      <c r="J33" s="370" t="s">
        <v>301</v>
      </c>
      <c r="K33" s="361">
        <v>33461</v>
      </c>
      <c r="M33" s="363"/>
      <c r="N33" s="363"/>
      <c r="O33" s="364"/>
      <c r="P33" s="364"/>
      <c r="Q33" s="364"/>
      <c r="R33" s="365"/>
    </row>
    <row r="34" spans="1:18" s="362" customFormat="1">
      <c r="A34" s="358">
        <v>41158</v>
      </c>
      <c r="B34" s="360" t="s">
        <v>371</v>
      </c>
      <c r="C34" s="360" t="s">
        <v>284</v>
      </c>
      <c r="D34" s="359" t="s">
        <v>326</v>
      </c>
      <c r="E34" s="360" t="s">
        <v>210</v>
      </c>
      <c r="F34" s="360"/>
      <c r="G34" s="369">
        <v>937959</v>
      </c>
      <c r="H34" s="360"/>
      <c r="I34" s="359" t="s">
        <v>211</v>
      </c>
      <c r="J34" s="369"/>
      <c r="K34" s="361">
        <v>33696</v>
      </c>
      <c r="M34" s="363"/>
      <c r="N34" s="363"/>
      <c r="O34" s="364"/>
      <c r="P34" s="364"/>
      <c r="Q34" s="364"/>
      <c r="R34" s="365"/>
    </row>
    <row r="35" spans="1:18" s="137" customFormat="1">
      <c r="A35" s="302"/>
      <c r="B35" s="249" t="s">
        <v>252</v>
      </c>
      <c r="C35" s="249" t="s">
        <v>272</v>
      </c>
      <c r="D35" s="266" t="s">
        <v>326</v>
      </c>
      <c r="E35" s="249" t="s">
        <v>79</v>
      </c>
      <c r="F35" s="249"/>
      <c r="G35" s="371"/>
      <c r="H35" s="249"/>
      <c r="I35" s="266" t="s">
        <v>291</v>
      </c>
      <c r="J35" s="371"/>
      <c r="K35" s="302">
        <v>33278</v>
      </c>
      <c r="M35" s="285"/>
      <c r="N35" s="285"/>
      <c r="O35" s="286"/>
      <c r="P35" s="286"/>
      <c r="Q35" s="286"/>
      <c r="R35" s="287"/>
    </row>
    <row r="36" spans="1:18" s="137" customFormat="1">
      <c r="A36" s="302">
        <v>41347</v>
      </c>
      <c r="B36" s="249" t="s">
        <v>372</v>
      </c>
      <c r="C36" s="249" t="s">
        <v>281</v>
      </c>
      <c r="D36" s="266" t="s">
        <v>326</v>
      </c>
      <c r="E36" s="249" t="s">
        <v>210</v>
      </c>
      <c r="F36" s="249"/>
      <c r="G36" s="371"/>
      <c r="H36" s="249"/>
      <c r="I36" s="266" t="s">
        <v>291</v>
      </c>
      <c r="J36" s="371"/>
      <c r="K36" s="302">
        <v>33394</v>
      </c>
      <c r="M36" s="285"/>
      <c r="N36" s="285"/>
      <c r="O36" s="286"/>
      <c r="P36" s="286"/>
      <c r="Q36" s="286"/>
      <c r="R36" s="287"/>
    </row>
    <row r="37" spans="1:18" s="137" customFormat="1">
      <c r="A37" s="302">
        <v>41172</v>
      </c>
      <c r="B37" s="249" t="s">
        <v>251</v>
      </c>
      <c r="C37" s="249" t="s">
        <v>271</v>
      </c>
      <c r="D37" s="266" t="s">
        <v>326</v>
      </c>
      <c r="E37" s="249" t="s">
        <v>289</v>
      </c>
      <c r="F37" s="249"/>
      <c r="G37" s="371"/>
      <c r="H37" s="249"/>
      <c r="I37" s="266" t="s">
        <v>211</v>
      </c>
      <c r="J37" s="371"/>
      <c r="K37" s="301">
        <v>33308</v>
      </c>
      <c r="M37" s="285"/>
      <c r="N37" s="285"/>
      <c r="O37" s="286"/>
      <c r="P37" s="286"/>
      <c r="Q37" s="286"/>
      <c r="R37" s="287"/>
    </row>
    <row r="38" spans="1:18" s="137" customFormat="1">
      <c r="A38" s="302">
        <v>41172</v>
      </c>
      <c r="B38" s="249" t="s">
        <v>373</v>
      </c>
      <c r="C38" s="249" t="s">
        <v>270</v>
      </c>
      <c r="D38" s="266" t="s">
        <v>326</v>
      </c>
      <c r="E38" s="249" t="s">
        <v>210</v>
      </c>
      <c r="F38" s="249"/>
      <c r="G38" s="371"/>
      <c r="H38" s="249"/>
      <c r="I38" s="266" t="s">
        <v>291</v>
      </c>
      <c r="J38" s="371"/>
      <c r="K38" s="301">
        <v>33616</v>
      </c>
      <c r="M38" s="285"/>
      <c r="N38" s="285"/>
      <c r="O38" s="286"/>
      <c r="P38" s="286"/>
      <c r="Q38" s="286"/>
      <c r="R38" s="287"/>
    </row>
    <row r="39" spans="1:18" s="137" customFormat="1">
      <c r="A39" s="302">
        <v>41172</v>
      </c>
      <c r="B39" s="249" t="s">
        <v>261</v>
      </c>
      <c r="C39" s="249" t="s">
        <v>283</v>
      </c>
      <c r="D39" s="266" t="s">
        <v>326</v>
      </c>
      <c r="E39" s="249" t="s">
        <v>289</v>
      </c>
      <c r="F39" s="249"/>
      <c r="G39" s="371"/>
      <c r="H39" s="249"/>
      <c r="I39" s="266" t="s">
        <v>295</v>
      </c>
      <c r="J39" s="371"/>
      <c r="K39" s="301">
        <v>34219</v>
      </c>
      <c r="M39" s="285"/>
      <c r="N39" s="285"/>
      <c r="O39" s="286"/>
      <c r="P39" s="286"/>
      <c r="Q39" s="286"/>
      <c r="R39" s="287"/>
    </row>
    <row r="40" spans="1:18" s="362" customFormat="1">
      <c r="A40" s="358">
        <v>41347</v>
      </c>
      <c r="B40" s="360" t="s">
        <v>374</v>
      </c>
      <c r="C40" s="360" t="s">
        <v>273</v>
      </c>
      <c r="D40" s="359" t="s">
        <v>326</v>
      </c>
      <c r="E40" s="360" t="s">
        <v>290</v>
      </c>
      <c r="F40" s="360"/>
      <c r="G40" s="369"/>
      <c r="H40" s="360"/>
      <c r="I40" s="359"/>
      <c r="J40" s="369"/>
      <c r="K40" s="361"/>
      <c r="M40" s="363"/>
      <c r="N40" s="363"/>
      <c r="O40" s="364"/>
      <c r="P40" s="364"/>
      <c r="Q40" s="364"/>
      <c r="R40" s="365"/>
    </row>
    <row r="41" spans="1:18" s="137" customFormat="1">
      <c r="A41" s="302">
        <v>41158</v>
      </c>
      <c r="B41" s="249" t="s">
        <v>375</v>
      </c>
      <c r="C41" s="249" t="s">
        <v>376</v>
      </c>
      <c r="D41" s="266" t="s">
        <v>326</v>
      </c>
      <c r="E41" s="249"/>
      <c r="F41" s="249"/>
      <c r="G41" s="371"/>
      <c r="H41" s="249"/>
      <c r="I41" s="266" t="s">
        <v>294</v>
      </c>
      <c r="J41" s="371"/>
      <c r="K41" s="301">
        <v>34230</v>
      </c>
      <c r="M41" s="285"/>
      <c r="N41" s="285"/>
      <c r="O41" s="286"/>
      <c r="P41" s="286"/>
      <c r="Q41" s="286"/>
      <c r="R41" s="287"/>
    </row>
    <row r="42" spans="1:18" s="362" customFormat="1">
      <c r="A42" s="358"/>
      <c r="B42" s="360" t="s">
        <v>377</v>
      </c>
      <c r="C42" s="360" t="s">
        <v>378</v>
      </c>
      <c r="D42" s="359" t="s">
        <v>326</v>
      </c>
      <c r="E42" s="360" t="s">
        <v>290</v>
      </c>
      <c r="F42" s="360"/>
      <c r="G42" s="369">
        <v>9873585</v>
      </c>
      <c r="H42" s="360"/>
      <c r="I42" s="359" t="s">
        <v>291</v>
      </c>
      <c r="J42" s="369"/>
      <c r="K42" s="358">
        <v>33316</v>
      </c>
      <c r="M42" s="363"/>
      <c r="N42" s="363"/>
      <c r="O42" s="364"/>
      <c r="P42" s="364"/>
      <c r="Q42" s="364"/>
      <c r="R42" s="365"/>
    </row>
    <row r="43" spans="1:18" s="362" customFormat="1">
      <c r="A43" s="358">
        <v>41172</v>
      </c>
      <c r="B43" s="360" t="s">
        <v>379</v>
      </c>
      <c r="C43" s="360" t="s">
        <v>380</v>
      </c>
      <c r="D43" s="359" t="s">
        <v>326</v>
      </c>
      <c r="E43" s="360" t="s">
        <v>210</v>
      </c>
      <c r="F43" s="360"/>
      <c r="G43" s="369">
        <v>9835929</v>
      </c>
      <c r="H43" s="360"/>
      <c r="I43" s="359" t="s">
        <v>211</v>
      </c>
      <c r="J43" s="370" t="s">
        <v>413</v>
      </c>
      <c r="K43" s="361">
        <v>33724</v>
      </c>
      <c r="M43" s="363"/>
      <c r="N43" s="363"/>
      <c r="O43" s="364"/>
      <c r="P43" s="364"/>
      <c r="Q43" s="364"/>
      <c r="R43" s="365"/>
    </row>
    <row r="44" spans="1:18" s="137" customFormat="1">
      <c r="A44" s="302"/>
      <c r="B44" s="249" t="s">
        <v>381</v>
      </c>
      <c r="C44" s="249" t="s">
        <v>382</v>
      </c>
      <c r="D44" s="266" t="s">
        <v>326</v>
      </c>
      <c r="E44" s="249"/>
      <c r="F44" s="249"/>
      <c r="G44" s="371"/>
      <c r="H44" s="249"/>
      <c r="I44" s="266" t="s">
        <v>293</v>
      </c>
      <c r="J44" s="371"/>
      <c r="K44" s="302">
        <v>33239</v>
      </c>
      <c r="L44" s="183"/>
      <c r="M44" s="285"/>
      <c r="N44" s="285"/>
      <c r="O44" s="286"/>
      <c r="P44" s="286"/>
      <c r="Q44" s="286"/>
      <c r="R44" s="287"/>
    </row>
    <row r="45" spans="1:18" s="362" customFormat="1">
      <c r="A45" s="358"/>
      <c r="B45" s="360" t="s">
        <v>383</v>
      </c>
      <c r="C45" s="360" t="s">
        <v>384</v>
      </c>
      <c r="D45" s="359" t="s">
        <v>326</v>
      </c>
      <c r="E45" s="360" t="s">
        <v>289</v>
      </c>
      <c r="F45" s="360"/>
      <c r="G45" s="369">
        <v>9873779</v>
      </c>
      <c r="H45" s="360"/>
      <c r="I45" s="359"/>
      <c r="J45" s="369"/>
      <c r="K45" s="361"/>
      <c r="L45" s="366"/>
      <c r="M45" s="363"/>
      <c r="N45" s="363"/>
      <c r="O45" s="364"/>
      <c r="P45" s="364"/>
      <c r="Q45" s="364"/>
      <c r="R45" s="365"/>
    </row>
    <row r="46" spans="1:18" s="362" customFormat="1">
      <c r="A46" s="358"/>
      <c r="B46" s="360" t="s">
        <v>385</v>
      </c>
      <c r="C46" s="360" t="s">
        <v>386</v>
      </c>
      <c r="D46" s="359" t="s">
        <v>326</v>
      </c>
      <c r="E46" s="360" t="s">
        <v>289</v>
      </c>
      <c r="F46" s="360"/>
      <c r="G46" s="369">
        <v>9873804</v>
      </c>
      <c r="H46" s="360"/>
      <c r="I46" s="359"/>
      <c r="J46" s="369"/>
      <c r="K46" s="361"/>
      <c r="L46" s="366"/>
      <c r="M46" s="363"/>
      <c r="N46" s="363"/>
      <c r="O46" s="364"/>
      <c r="P46" s="364"/>
      <c r="Q46" s="364"/>
      <c r="R46" s="365"/>
    </row>
    <row r="47" spans="1:18" s="362" customFormat="1">
      <c r="A47" s="358"/>
      <c r="B47" s="360" t="s">
        <v>387</v>
      </c>
      <c r="C47" s="360" t="s">
        <v>388</v>
      </c>
      <c r="D47" s="359" t="s">
        <v>326</v>
      </c>
      <c r="E47" s="360" t="s">
        <v>289</v>
      </c>
      <c r="F47" s="360"/>
      <c r="G47" s="369">
        <v>9873424</v>
      </c>
      <c r="H47" s="360"/>
      <c r="I47" s="359" t="s">
        <v>293</v>
      </c>
      <c r="J47" s="369" t="s">
        <v>414</v>
      </c>
      <c r="K47" s="361"/>
      <c r="L47" s="366"/>
      <c r="M47" s="363"/>
      <c r="N47" s="363"/>
      <c r="O47" s="364"/>
      <c r="P47" s="364"/>
      <c r="Q47" s="364"/>
      <c r="R47" s="365"/>
    </row>
    <row r="48" spans="1:18" s="362" customFormat="1">
      <c r="A48" s="358"/>
      <c r="B48" s="360" t="s">
        <v>253</v>
      </c>
      <c r="C48" s="360" t="s">
        <v>273</v>
      </c>
      <c r="D48" s="359" t="s">
        <v>326</v>
      </c>
      <c r="E48" s="360" t="s">
        <v>210</v>
      </c>
      <c r="F48" s="360"/>
      <c r="G48" s="369">
        <v>9873819</v>
      </c>
      <c r="H48" s="360"/>
      <c r="I48" s="359"/>
      <c r="J48" s="370" t="s">
        <v>307</v>
      </c>
      <c r="K48" s="361"/>
      <c r="L48" s="366"/>
      <c r="M48" s="363"/>
      <c r="N48" s="363"/>
      <c r="O48" s="364"/>
      <c r="P48" s="364"/>
      <c r="Q48" s="364"/>
      <c r="R48" s="365"/>
    </row>
    <row r="49" spans="1:18" s="362" customFormat="1">
      <c r="A49" s="358">
        <v>41171</v>
      </c>
      <c r="B49" s="360" t="s">
        <v>249</v>
      </c>
      <c r="C49" s="360" t="s">
        <v>268</v>
      </c>
      <c r="D49" s="359" t="s">
        <v>326</v>
      </c>
      <c r="E49" s="360" t="s">
        <v>303</v>
      </c>
      <c r="F49" s="360"/>
      <c r="G49" s="373">
        <v>9870074</v>
      </c>
      <c r="H49" s="360"/>
      <c r="I49" s="359" t="s">
        <v>211</v>
      </c>
      <c r="J49" s="370" t="s">
        <v>415</v>
      </c>
      <c r="K49" s="361">
        <v>33485</v>
      </c>
      <c r="L49" s="366"/>
      <c r="M49" s="363"/>
      <c r="N49" s="363"/>
      <c r="O49" s="364"/>
      <c r="P49" s="364"/>
      <c r="Q49" s="364"/>
      <c r="R49" s="365"/>
    </row>
    <row r="50" spans="1:18" s="362" customFormat="1">
      <c r="A50" s="358"/>
      <c r="B50" s="360" t="s">
        <v>389</v>
      </c>
      <c r="C50" s="360" t="s">
        <v>390</v>
      </c>
      <c r="D50" s="359" t="s">
        <v>326</v>
      </c>
      <c r="E50" s="360" t="s">
        <v>210</v>
      </c>
      <c r="F50" s="360"/>
      <c r="G50" s="369">
        <v>9867027</v>
      </c>
      <c r="H50" s="360"/>
      <c r="I50" s="359"/>
      <c r="J50" s="370" t="s">
        <v>416</v>
      </c>
      <c r="K50" s="361"/>
      <c r="L50" s="366"/>
      <c r="M50" s="363"/>
      <c r="N50" s="363"/>
      <c r="O50" s="364"/>
      <c r="P50" s="364"/>
      <c r="Q50" s="364"/>
      <c r="R50" s="365"/>
    </row>
    <row r="51" spans="1:18" s="362" customFormat="1">
      <c r="A51" s="358"/>
      <c r="B51" s="360" t="s">
        <v>391</v>
      </c>
      <c r="C51" s="360" t="s">
        <v>282</v>
      </c>
      <c r="D51" s="359" t="s">
        <v>326</v>
      </c>
      <c r="E51" s="360" t="s">
        <v>289</v>
      </c>
      <c r="F51" s="360"/>
      <c r="G51" s="369">
        <v>9873405</v>
      </c>
      <c r="H51" s="360"/>
      <c r="I51" s="359" t="s">
        <v>292</v>
      </c>
      <c r="J51" s="370" t="s">
        <v>417</v>
      </c>
      <c r="K51" s="358">
        <v>33418</v>
      </c>
      <c r="L51" s="366"/>
      <c r="M51" s="363"/>
      <c r="N51" s="363"/>
      <c r="O51" s="364"/>
      <c r="P51" s="364"/>
      <c r="Q51" s="364"/>
      <c r="R51" s="365"/>
    </row>
    <row r="52" spans="1:18" s="362" customFormat="1">
      <c r="A52" s="358">
        <v>41172</v>
      </c>
      <c r="B52" s="360" t="s">
        <v>263</v>
      </c>
      <c r="C52" s="360" t="s">
        <v>286</v>
      </c>
      <c r="D52" s="359" t="s">
        <v>326</v>
      </c>
      <c r="E52" s="360" t="s">
        <v>289</v>
      </c>
      <c r="F52" s="360"/>
      <c r="G52" s="369">
        <v>984707</v>
      </c>
      <c r="H52" s="360"/>
      <c r="I52" s="359"/>
      <c r="J52" s="369"/>
      <c r="K52" s="361">
        <v>33743</v>
      </c>
      <c r="L52" s="366"/>
      <c r="M52" s="363"/>
      <c r="N52" s="363"/>
      <c r="O52" s="364"/>
      <c r="P52" s="364"/>
      <c r="Q52" s="364"/>
      <c r="R52" s="365"/>
    </row>
    <row r="53" spans="1:18" s="362" customFormat="1">
      <c r="A53" s="358"/>
      <c r="B53" s="360" t="s">
        <v>392</v>
      </c>
      <c r="C53" s="360" t="s">
        <v>393</v>
      </c>
      <c r="D53" s="359" t="s">
        <v>326</v>
      </c>
      <c r="E53" s="360" t="s">
        <v>210</v>
      </c>
      <c r="F53" s="360"/>
      <c r="G53" s="369">
        <v>9873463</v>
      </c>
      <c r="H53" s="360"/>
      <c r="I53" s="359" t="s">
        <v>291</v>
      </c>
      <c r="J53" s="369"/>
      <c r="K53" s="361">
        <v>34151</v>
      </c>
      <c r="L53" s="366"/>
      <c r="M53" s="363"/>
      <c r="N53" s="363"/>
      <c r="O53" s="364"/>
      <c r="P53" s="364"/>
      <c r="Q53" s="364"/>
      <c r="R53" s="365"/>
    </row>
    <row r="54" spans="1:18" s="362" customFormat="1">
      <c r="A54" s="358">
        <v>41163</v>
      </c>
      <c r="B54" s="360" t="s">
        <v>327</v>
      </c>
      <c r="C54" s="360" t="s">
        <v>244</v>
      </c>
      <c r="D54" s="359" t="s">
        <v>326</v>
      </c>
      <c r="E54" s="360" t="s">
        <v>303</v>
      </c>
      <c r="F54" s="360"/>
      <c r="G54" s="369">
        <v>9532945</v>
      </c>
      <c r="H54" s="360"/>
      <c r="I54" s="359" t="s">
        <v>211</v>
      </c>
      <c r="J54" s="369"/>
      <c r="K54" s="361">
        <v>33529</v>
      </c>
      <c r="L54" s="366"/>
      <c r="M54" s="363"/>
      <c r="N54" s="363"/>
      <c r="O54" s="364"/>
      <c r="P54" s="364"/>
      <c r="Q54" s="364"/>
      <c r="R54" s="365"/>
    </row>
    <row r="55" spans="1:18" s="362" customFormat="1">
      <c r="A55" s="358">
        <v>41191</v>
      </c>
      <c r="B55" s="360" t="s">
        <v>394</v>
      </c>
      <c r="C55" s="360" t="s">
        <v>395</v>
      </c>
      <c r="D55" s="359" t="s">
        <v>326</v>
      </c>
      <c r="E55" s="360" t="s">
        <v>303</v>
      </c>
      <c r="F55" s="360"/>
      <c r="G55" s="369">
        <v>9873689</v>
      </c>
      <c r="H55" s="360"/>
      <c r="I55" s="359" t="s">
        <v>291</v>
      </c>
      <c r="J55" s="369" t="s">
        <v>418</v>
      </c>
      <c r="K55" s="361">
        <v>34038</v>
      </c>
      <c r="L55" s="366"/>
      <c r="M55" s="363"/>
      <c r="N55" s="363"/>
      <c r="O55" s="364"/>
      <c r="P55" s="364"/>
      <c r="Q55" s="364"/>
      <c r="R55" s="365"/>
    </row>
    <row r="56" spans="1:18" s="362" customFormat="1">
      <c r="A56" s="358"/>
      <c r="B56" s="360" t="s">
        <v>396</v>
      </c>
      <c r="C56" s="360" t="s">
        <v>397</v>
      </c>
      <c r="D56" s="359" t="s">
        <v>326</v>
      </c>
      <c r="E56" s="360" t="s">
        <v>303</v>
      </c>
      <c r="F56" s="360"/>
      <c r="G56" s="369">
        <v>9873769</v>
      </c>
      <c r="H56" s="360"/>
      <c r="I56" s="359"/>
      <c r="J56" s="369"/>
      <c r="K56" s="361"/>
      <c r="L56" s="366"/>
      <c r="M56" s="363"/>
      <c r="N56" s="363"/>
      <c r="O56" s="364"/>
      <c r="P56" s="364"/>
      <c r="Q56" s="364"/>
      <c r="R56" s="365"/>
    </row>
    <row r="57" spans="1:18">
      <c r="A57" s="279"/>
      <c r="B57" s="251"/>
      <c r="C57" s="251"/>
      <c r="D57" s="256"/>
      <c r="E57" s="254"/>
      <c r="F57" s="255"/>
      <c r="G57" s="258"/>
      <c r="H57" s="255"/>
      <c r="I57" s="258"/>
      <c r="J57" s="258"/>
      <c r="M57" s="289"/>
      <c r="N57" s="289"/>
      <c r="O57" s="289"/>
      <c r="P57" s="289"/>
      <c r="Q57" s="289"/>
      <c r="R57" s="290"/>
    </row>
    <row r="58" spans="1:18" s="137" customFormat="1">
      <c r="A58" s="304" t="s">
        <v>64</v>
      </c>
      <c r="B58" s="305"/>
      <c r="C58" s="305"/>
      <c r="D58" s="305"/>
      <c r="E58" s="310"/>
      <c r="F58" s="305"/>
      <c r="G58" s="305"/>
      <c r="H58" s="306"/>
      <c r="I58" s="307"/>
      <c r="J58" s="307"/>
      <c r="K58" s="308"/>
      <c r="L58" s="183"/>
      <c r="M58" s="288"/>
      <c r="N58" s="288"/>
      <c r="O58" s="286"/>
      <c r="P58" s="286"/>
      <c r="Q58" s="286"/>
      <c r="R58" s="287"/>
    </row>
    <row r="59" spans="1:18" ht="28.5" customHeight="1">
      <c r="A59" s="280" t="s">
        <v>1</v>
      </c>
      <c r="B59" s="246" t="s">
        <v>34</v>
      </c>
      <c r="C59" s="246" t="s">
        <v>33</v>
      </c>
      <c r="D59" s="246"/>
      <c r="E59" s="246" t="s">
        <v>106</v>
      </c>
      <c r="F59" s="247" t="s">
        <v>107</v>
      </c>
      <c r="G59" s="247" t="s">
        <v>108</v>
      </c>
      <c r="H59" s="247" t="s">
        <v>109</v>
      </c>
      <c r="I59" s="247" t="s">
        <v>110</v>
      </c>
      <c r="J59" s="248" t="s">
        <v>113</v>
      </c>
      <c r="K59" s="248" t="s">
        <v>227</v>
      </c>
      <c r="M59" s="288"/>
      <c r="N59" s="288"/>
      <c r="O59" s="286"/>
      <c r="P59" s="286"/>
      <c r="Q59" s="286"/>
      <c r="R59" s="287"/>
    </row>
    <row r="60" spans="1:18">
      <c r="A60" s="296"/>
      <c r="B60" s="250"/>
      <c r="C60" s="250"/>
      <c r="D60" s="328"/>
      <c r="E60" s="249"/>
      <c r="F60" s="249"/>
      <c r="G60" s="266"/>
      <c r="H60" s="249"/>
      <c r="I60" s="266"/>
      <c r="J60" s="266"/>
      <c r="K60" s="266"/>
    </row>
    <row r="61" spans="1:18">
      <c r="A61" s="296"/>
      <c r="B61" s="250"/>
      <c r="C61" s="250"/>
      <c r="D61" s="328"/>
      <c r="E61" s="249"/>
      <c r="F61" s="249"/>
      <c r="G61" s="266"/>
      <c r="H61" s="249"/>
      <c r="I61" s="266"/>
      <c r="J61" s="311"/>
      <c r="K61" s="266"/>
    </row>
    <row r="64" spans="1:18">
      <c r="D64" s="309">
        <f>COUNTIF(D4:D62, "Yes")</f>
        <v>53</v>
      </c>
    </row>
    <row r="65" spans="1:8">
      <c r="A65" s="312" t="s">
        <v>122</v>
      </c>
      <c r="G65" s="258"/>
      <c r="H65" s="255"/>
    </row>
    <row r="66" spans="1:8">
      <c r="G66" s="258"/>
      <c r="H66" s="255"/>
    </row>
    <row r="67" spans="1:8">
      <c r="A67" s="314"/>
      <c r="B67" s="255"/>
      <c r="C67" s="255"/>
      <c r="D67" s="258"/>
      <c r="E67" s="255"/>
    </row>
    <row r="68" spans="1:8" ht="19" thickBot="1">
      <c r="A68" s="314"/>
    </row>
    <row r="69" spans="1:8" ht="19" thickBot="1">
      <c r="A69" s="281"/>
      <c r="C69" s="315" t="s">
        <v>40</v>
      </c>
      <c r="D69" s="316"/>
      <c r="E69" s="316">
        <f>COUNTIF($E$4:$E$56,"Freshman")+COUNTIF($E$60:$E$61,"Freshman")</f>
        <v>5</v>
      </c>
    </row>
    <row r="70" spans="1:8" ht="19" thickBot="1">
      <c r="A70" s="279"/>
      <c r="C70" s="315" t="s">
        <v>35</v>
      </c>
      <c r="D70" s="316"/>
      <c r="E70" s="316">
        <f>COUNTIF($E$4:$E$56,"Sophomore")+COUNTIF($E$60:$E$61,"Sophomore")</f>
        <v>7</v>
      </c>
    </row>
    <row r="71" spans="1:8" ht="19" thickBot="1">
      <c r="A71" s="279"/>
      <c r="C71" s="315" t="s">
        <v>36</v>
      </c>
      <c r="D71" s="316"/>
      <c r="E71" s="316">
        <f>COUNTIF($E$4:$E$56,"Junior")+COUNTIF($E$60:$E$61,"Junior")</f>
        <v>16</v>
      </c>
    </row>
    <row r="72" spans="1:8" ht="19" thickBot="1">
      <c r="A72" s="279"/>
      <c r="C72" s="315" t="s">
        <v>37</v>
      </c>
      <c r="D72" s="316"/>
      <c r="E72" s="316">
        <f>COUNTIF($E$4:$E$56,"Senior")+COUNTIF($E$60:$E$61,"Senior")</f>
        <v>18</v>
      </c>
    </row>
    <row r="73" spans="1:8" ht="19" thickBot="1">
      <c r="A73" s="279"/>
      <c r="C73" s="315" t="s">
        <v>79</v>
      </c>
      <c r="D73" s="316"/>
      <c r="E73" s="316">
        <f>COUNTIF($E$4:$E$56,"Grad")+COUNTIF($E$60:$E$61,"Grad")</f>
        <v>3</v>
      </c>
    </row>
    <row r="74" spans="1:8" ht="19" thickBot="1">
      <c r="A74" s="279"/>
      <c r="C74" s="317" t="s">
        <v>76</v>
      </c>
      <c r="D74" s="329"/>
      <c r="E74" s="316">
        <f>SUM(E69:E73)</f>
        <v>49</v>
      </c>
    </row>
    <row r="75" spans="1:8">
      <c r="A75" s="279"/>
    </row>
    <row r="76" spans="1:8">
      <c r="A76" s="279"/>
      <c r="B76" s="253"/>
      <c r="C76" s="251"/>
      <c r="D76" s="256"/>
      <c r="E76" s="251"/>
    </row>
    <row r="77" spans="1:8">
      <c r="A77" s="279"/>
      <c r="B77" s="253"/>
      <c r="C77" s="251"/>
      <c r="D77" s="256"/>
      <c r="E77" s="251"/>
      <c r="F77" s="254"/>
      <c r="G77" s="258"/>
      <c r="H77" s="255"/>
    </row>
    <row r="78" spans="1:8">
      <c r="A78" s="279"/>
      <c r="B78" s="253"/>
      <c r="C78" s="251"/>
      <c r="D78" s="256"/>
      <c r="E78" s="251"/>
      <c r="F78" s="254"/>
      <c r="G78" s="258"/>
      <c r="H78" s="255"/>
    </row>
    <row r="79" spans="1:8">
      <c r="A79" s="279"/>
      <c r="B79" s="253"/>
      <c r="C79" s="251"/>
      <c r="D79" s="256"/>
      <c r="E79" s="251"/>
      <c r="F79" s="254"/>
      <c r="G79" s="258"/>
      <c r="H79" s="255"/>
    </row>
    <row r="80" spans="1:8">
      <c r="A80" s="279"/>
      <c r="B80" s="253"/>
      <c r="C80" s="251"/>
      <c r="D80" s="256"/>
      <c r="E80" s="251"/>
      <c r="F80" s="254"/>
      <c r="G80" s="258"/>
      <c r="H80" s="255"/>
    </row>
    <row r="81" spans="1:10">
      <c r="A81" s="279"/>
      <c r="B81" s="253"/>
      <c r="C81" s="251"/>
      <c r="D81" s="256"/>
      <c r="E81" s="251"/>
      <c r="F81" s="254"/>
      <c r="G81" s="258"/>
      <c r="H81" s="255"/>
    </row>
    <row r="82" spans="1:10">
      <c r="A82" s="279"/>
      <c r="B82" s="253"/>
      <c r="C82" s="251"/>
      <c r="D82" s="256"/>
      <c r="E82" s="251"/>
      <c r="F82" s="254"/>
      <c r="G82" s="258"/>
      <c r="H82" s="255"/>
    </row>
    <row r="83" spans="1:10">
      <c r="A83" s="279"/>
      <c r="B83" s="253"/>
      <c r="C83" s="251"/>
      <c r="D83" s="256"/>
      <c r="E83" s="251"/>
      <c r="F83" s="254"/>
      <c r="G83" s="258"/>
      <c r="H83" s="255"/>
    </row>
    <row r="84" spans="1:10">
      <c r="A84" s="279"/>
      <c r="B84" s="253"/>
      <c r="C84" s="251"/>
      <c r="D84" s="256"/>
      <c r="E84" s="251"/>
      <c r="F84" s="254"/>
      <c r="G84" s="258"/>
      <c r="H84" s="255"/>
    </row>
    <row r="85" spans="1:10">
      <c r="A85" s="279"/>
      <c r="B85" s="253"/>
      <c r="C85" s="251"/>
      <c r="D85" s="256"/>
      <c r="E85" s="251"/>
      <c r="F85" s="254"/>
      <c r="G85" s="258"/>
      <c r="H85" s="255"/>
    </row>
    <row r="86" spans="1:10">
      <c r="A86" s="279"/>
      <c r="B86" s="253"/>
      <c r="C86" s="251"/>
      <c r="D86" s="256"/>
      <c r="E86" s="251"/>
      <c r="F86" s="254"/>
      <c r="G86" s="258"/>
      <c r="H86" s="255"/>
    </row>
    <row r="87" spans="1:10">
      <c r="A87" s="279"/>
      <c r="B87" s="253"/>
      <c r="C87" s="251"/>
      <c r="D87" s="256"/>
      <c r="E87" s="251"/>
      <c r="F87" s="254"/>
      <c r="G87" s="258"/>
      <c r="H87" s="255"/>
    </row>
    <row r="88" spans="1:10">
      <c r="A88" s="279"/>
      <c r="B88" s="253"/>
      <c r="C88" s="251"/>
      <c r="D88" s="256"/>
      <c r="E88" s="251"/>
      <c r="F88" s="254"/>
      <c r="G88" s="258"/>
      <c r="H88" s="255"/>
    </row>
    <row r="89" spans="1:10">
      <c r="A89" s="279"/>
      <c r="B89" s="253"/>
      <c r="C89" s="251"/>
      <c r="D89" s="256"/>
      <c r="E89" s="251"/>
      <c r="F89" s="254"/>
      <c r="G89" s="258"/>
      <c r="H89" s="255"/>
    </row>
    <row r="90" spans="1:10">
      <c r="A90" s="279"/>
      <c r="B90" s="253"/>
      <c r="C90" s="251"/>
      <c r="D90" s="256"/>
      <c r="E90" s="251"/>
      <c r="F90" s="254"/>
      <c r="G90" s="258"/>
      <c r="H90" s="255"/>
    </row>
    <row r="91" spans="1:10">
      <c r="A91" s="279"/>
      <c r="B91" s="253"/>
      <c r="C91" s="251"/>
      <c r="D91" s="256"/>
      <c r="E91" s="252"/>
      <c r="F91" s="254"/>
      <c r="G91" s="258"/>
      <c r="H91" s="255"/>
    </row>
    <row r="92" spans="1:10">
      <c r="A92" s="279"/>
      <c r="B92" s="253"/>
      <c r="C92" s="251"/>
      <c r="D92" s="256"/>
      <c r="E92" s="251"/>
      <c r="F92" s="254"/>
      <c r="G92" s="258"/>
      <c r="H92" s="255"/>
    </row>
    <row r="93" spans="1:10">
      <c r="A93" s="279"/>
      <c r="B93" s="253"/>
      <c r="C93" s="251"/>
      <c r="D93" s="256"/>
      <c r="E93" s="251"/>
      <c r="F93" s="254"/>
      <c r="G93" s="258"/>
      <c r="H93" s="255"/>
    </row>
    <row r="94" spans="1:10">
      <c r="A94" s="279"/>
      <c r="B94" s="253"/>
      <c r="C94" s="251"/>
      <c r="D94" s="256"/>
      <c r="E94" s="251"/>
      <c r="F94" s="254"/>
      <c r="G94" s="258"/>
      <c r="H94" s="255"/>
    </row>
    <row r="95" spans="1:10">
      <c r="A95" s="279"/>
      <c r="B95" s="253"/>
      <c r="C95" s="251"/>
      <c r="D95" s="256"/>
      <c r="E95" s="251"/>
      <c r="F95" s="254"/>
      <c r="G95" s="258"/>
      <c r="H95" s="255"/>
    </row>
    <row r="96" spans="1:10">
      <c r="A96" s="397"/>
      <c r="B96" s="397"/>
      <c r="C96" s="397"/>
      <c r="D96" s="397"/>
      <c r="E96" s="397"/>
      <c r="F96" s="397"/>
      <c r="G96" s="397"/>
      <c r="H96" s="255"/>
      <c r="I96" s="258"/>
      <c r="J96" s="258"/>
    </row>
    <row r="97" spans="1:10">
      <c r="A97" s="279"/>
      <c r="B97" s="253"/>
      <c r="C97" s="251"/>
      <c r="D97" s="256"/>
      <c r="E97" s="251"/>
      <c r="F97" s="254"/>
      <c r="G97" s="258"/>
      <c r="H97" s="255"/>
      <c r="I97" s="258"/>
      <c r="J97" s="258"/>
    </row>
    <row r="98" spans="1:10">
      <c r="A98" s="282"/>
      <c r="B98" s="256"/>
      <c r="C98" s="256"/>
      <c r="D98" s="256"/>
      <c r="E98" s="257"/>
      <c r="F98" s="255"/>
      <c r="G98" s="258"/>
      <c r="H98" s="255"/>
      <c r="I98" s="258"/>
      <c r="J98" s="258"/>
    </row>
    <row r="99" spans="1:10">
      <c r="A99" s="281"/>
      <c r="B99" s="259"/>
      <c r="C99" s="259"/>
      <c r="D99" s="259"/>
      <c r="E99" s="259"/>
      <c r="F99" s="260"/>
      <c r="G99" s="260"/>
      <c r="H99" s="260"/>
      <c r="I99" s="260"/>
      <c r="J99" s="261"/>
    </row>
    <row r="100" spans="1:10">
      <c r="A100" s="283"/>
      <c r="B100" s="262"/>
      <c r="C100" s="262"/>
      <c r="D100" s="256"/>
      <c r="E100" s="255"/>
      <c r="F100" s="255"/>
      <c r="G100" s="258"/>
      <c r="H100" s="255"/>
      <c r="I100" s="258"/>
      <c r="J100" s="258"/>
    </row>
    <row r="101" spans="1:10">
      <c r="A101" s="283"/>
      <c r="B101" s="262"/>
      <c r="C101" s="262"/>
      <c r="D101" s="256"/>
      <c r="E101" s="255"/>
      <c r="F101" s="255"/>
      <c r="G101" s="258"/>
      <c r="H101" s="255"/>
      <c r="I101" s="258"/>
      <c r="J101" s="258"/>
    </row>
    <row r="102" spans="1:10">
      <c r="A102" s="283"/>
      <c r="B102" s="262"/>
      <c r="C102" s="262"/>
      <c r="D102" s="256"/>
      <c r="E102" s="255"/>
      <c r="F102" s="263"/>
      <c r="G102" s="258"/>
      <c r="H102" s="255"/>
      <c r="I102" s="258"/>
      <c r="J102" s="258"/>
    </row>
    <row r="103" spans="1:10">
      <c r="A103" s="283"/>
      <c r="B103" s="262"/>
      <c r="C103" s="262"/>
      <c r="D103" s="256"/>
      <c r="E103" s="255"/>
      <c r="F103" s="255"/>
      <c r="G103" s="258"/>
      <c r="H103" s="255"/>
      <c r="I103" s="258"/>
      <c r="J103" s="258"/>
    </row>
    <row r="104" spans="1:10">
      <c r="A104" s="283"/>
      <c r="B104" s="262"/>
      <c r="C104" s="262"/>
      <c r="D104" s="256"/>
      <c r="E104" s="255"/>
      <c r="F104" s="255"/>
      <c r="G104" s="258"/>
      <c r="H104" s="255"/>
      <c r="I104" s="258"/>
      <c r="J104" s="258"/>
    </row>
    <row r="105" spans="1:10">
      <c r="A105" s="283"/>
      <c r="B105" s="262"/>
      <c r="C105" s="262"/>
      <c r="D105" s="256"/>
      <c r="E105" s="255"/>
      <c r="F105" s="255"/>
      <c r="G105" s="258"/>
      <c r="H105" s="255"/>
      <c r="I105" s="258"/>
      <c r="J105" s="258"/>
    </row>
    <row r="106" spans="1:10">
      <c r="A106" s="283"/>
      <c r="B106" s="262"/>
      <c r="C106" s="262"/>
      <c r="D106" s="256"/>
      <c r="E106" s="255"/>
      <c r="F106" s="255"/>
      <c r="G106" s="258"/>
      <c r="H106" s="255"/>
      <c r="I106" s="258"/>
      <c r="J106" s="258"/>
    </row>
    <row r="107" spans="1:10">
      <c r="A107" s="283"/>
      <c r="B107" s="262"/>
      <c r="C107" s="262"/>
      <c r="D107" s="256"/>
      <c r="E107" s="255"/>
      <c r="F107" s="255"/>
      <c r="G107" s="258"/>
      <c r="H107" s="255"/>
      <c r="I107" s="258"/>
      <c r="J107" s="258"/>
    </row>
    <row r="108" spans="1:10">
      <c r="A108" s="283"/>
      <c r="B108" s="262"/>
      <c r="C108" s="262"/>
      <c r="D108" s="256"/>
      <c r="E108" s="255"/>
      <c r="F108" s="255"/>
      <c r="G108" s="258"/>
      <c r="H108" s="255"/>
      <c r="I108" s="258"/>
      <c r="J108" s="258"/>
    </row>
    <row r="109" spans="1:10">
      <c r="A109" s="283"/>
      <c r="B109" s="262"/>
      <c r="C109" s="262"/>
      <c r="D109" s="256"/>
      <c r="E109" s="255"/>
      <c r="F109" s="255"/>
      <c r="G109" s="258"/>
      <c r="H109" s="255"/>
      <c r="I109" s="258"/>
      <c r="J109" s="258"/>
    </row>
    <row r="110" spans="1:10">
      <c r="A110" s="283"/>
      <c r="B110" s="262"/>
      <c r="C110" s="262"/>
      <c r="D110" s="256"/>
      <c r="E110" s="255"/>
      <c r="F110" s="255"/>
      <c r="G110" s="258"/>
      <c r="H110" s="255"/>
      <c r="I110" s="258"/>
      <c r="J110" s="258"/>
    </row>
    <row r="111" spans="1:10">
      <c r="A111" s="283"/>
      <c r="B111" s="262"/>
      <c r="C111" s="262"/>
      <c r="D111" s="256"/>
      <c r="E111" s="255"/>
      <c r="F111" s="255"/>
      <c r="G111" s="258"/>
      <c r="H111" s="255"/>
      <c r="I111" s="258"/>
      <c r="J111" s="258"/>
    </row>
    <row r="112" spans="1:10">
      <c r="A112" s="284"/>
      <c r="B112" s="264"/>
      <c r="C112" s="264"/>
      <c r="D112" s="257"/>
      <c r="E112" s="255"/>
      <c r="F112" s="255"/>
      <c r="G112" s="258"/>
      <c r="H112" s="255"/>
      <c r="I112" s="258"/>
      <c r="J112" s="258"/>
    </row>
    <row r="113" spans="1:10">
      <c r="A113" s="284"/>
      <c r="B113" s="264"/>
      <c r="C113" s="264"/>
      <c r="D113" s="257"/>
      <c r="E113" s="255"/>
      <c r="F113" s="255"/>
      <c r="G113" s="258"/>
      <c r="H113" s="255"/>
      <c r="I113" s="258"/>
      <c r="J113" s="258"/>
    </row>
    <row r="114" spans="1:10">
      <c r="A114" s="314"/>
      <c r="B114" s="255"/>
      <c r="C114" s="255"/>
      <c r="D114" s="258"/>
      <c r="E114" s="255"/>
      <c r="F114" s="255"/>
      <c r="G114" s="258"/>
      <c r="H114" s="255"/>
      <c r="I114" s="258"/>
      <c r="J114" s="258"/>
    </row>
    <row r="115" spans="1:10">
      <c r="A115" s="314"/>
      <c r="B115" s="255"/>
      <c r="C115" s="255"/>
      <c r="D115" s="258"/>
      <c r="E115" s="255"/>
      <c r="F115" s="255"/>
      <c r="G115" s="258"/>
      <c r="H115" s="255"/>
      <c r="I115" s="258"/>
      <c r="J115" s="258"/>
    </row>
    <row r="116" spans="1:10">
      <c r="A116" s="314"/>
      <c r="B116" s="255"/>
      <c r="C116" s="255"/>
      <c r="D116" s="258"/>
      <c r="E116" s="255"/>
      <c r="F116" s="255"/>
      <c r="G116" s="258"/>
      <c r="H116" s="255"/>
      <c r="I116" s="258"/>
      <c r="J116" s="258"/>
    </row>
    <row r="117" spans="1:10">
      <c r="A117" s="314"/>
      <c r="B117" s="255"/>
      <c r="C117" s="255"/>
      <c r="D117" s="258"/>
      <c r="E117" s="255"/>
      <c r="F117" s="255"/>
      <c r="G117" s="258"/>
      <c r="H117" s="255"/>
      <c r="I117" s="258"/>
      <c r="J117" s="258"/>
    </row>
    <row r="118" spans="1:10">
      <c r="A118" s="314"/>
      <c r="B118" s="255"/>
      <c r="C118" s="255"/>
      <c r="D118" s="258"/>
      <c r="E118" s="255"/>
      <c r="F118" s="255"/>
      <c r="G118" s="258"/>
      <c r="H118" s="255"/>
      <c r="I118" s="258"/>
      <c r="J118" s="258"/>
    </row>
    <row r="119" spans="1:10">
      <c r="A119" s="314"/>
      <c r="B119" s="255"/>
      <c r="C119" s="255"/>
      <c r="D119" s="258"/>
      <c r="E119" s="255"/>
      <c r="F119" s="255"/>
      <c r="G119" s="258"/>
      <c r="H119" s="255"/>
      <c r="I119" s="258"/>
      <c r="J119" s="258"/>
    </row>
    <row r="120" spans="1:10">
      <c r="A120" s="314"/>
      <c r="B120" s="255"/>
      <c r="C120" s="255"/>
      <c r="D120" s="258"/>
      <c r="E120" s="255"/>
      <c r="F120" s="255"/>
      <c r="G120" s="258"/>
      <c r="H120" s="255"/>
      <c r="I120" s="258"/>
      <c r="J120" s="258"/>
    </row>
    <row r="121" spans="1:10">
      <c r="A121" s="314"/>
      <c r="B121" s="255"/>
      <c r="C121" s="255"/>
      <c r="D121" s="258"/>
      <c r="E121" s="255"/>
      <c r="F121" s="255"/>
      <c r="G121" s="258"/>
      <c r="H121" s="255"/>
      <c r="I121" s="258"/>
      <c r="J121" s="258"/>
    </row>
    <row r="122" spans="1:10">
      <c r="A122" s="314"/>
      <c r="B122" s="255"/>
      <c r="C122" s="255"/>
      <c r="D122" s="258"/>
      <c r="E122" s="255"/>
      <c r="F122" s="255"/>
      <c r="G122" s="258"/>
      <c r="H122" s="255"/>
      <c r="I122" s="258"/>
      <c r="J122" s="258"/>
    </row>
    <row r="123" spans="1:10">
      <c r="A123" s="314"/>
      <c r="B123" s="255"/>
      <c r="C123" s="255"/>
      <c r="D123" s="258"/>
      <c r="E123" s="255"/>
      <c r="F123" s="255"/>
      <c r="G123" s="258"/>
      <c r="H123" s="255"/>
      <c r="I123" s="258"/>
      <c r="J123" s="258"/>
    </row>
    <row r="124" spans="1:10">
      <c r="A124" s="314"/>
      <c r="B124" s="255"/>
      <c r="C124" s="255"/>
      <c r="D124" s="258"/>
      <c r="E124" s="255"/>
      <c r="F124" s="255"/>
      <c r="G124" s="258"/>
      <c r="H124" s="255"/>
      <c r="I124" s="258"/>
      <c r="J124" s="258"/>
    </row>
  </sheetData>
  <sortState ref="A54:J68">
    <sortCondition ref="A54:A68"/>
  </sortState>
  <mergeCells count="2">
    <mergeCell ref="A96:G96"/>
    <mergeCell ref="A1:K1"/>
  </mergeCells>
  <hyperlinks>
    <hyperlink ref="J10" r:id="rId1"/>
    <hyperlink ref="J11" r:id="rId2"/>
    <hyperlink ref="J9" r:id="rId3"/>
    <hyperlink ref="J8" r:id="rId4"/>
    <hyperlink ref="J7" r:id="rId5"/>
    <hyperlink ref="J12" r:id="rId6"/>
    <hyperlink ref="J6" r:id="rId7"/>
    <hyperlink ref="J13" r:id="rId8"/>
    <hyperlink ref="J4" r:id="rId9"/>
    <hyperlink ref="J5" r:id="rId10"/>
    <hyperlink ref="J16" r:id="rId11"/>
    <hyperlink ref="J15" r:id="rId12"/>
    <hyperlink ref="J14" r:id="rId13"/>
    <hyperlink ref="J17" r:id="rId14"/>
    <hyperlink ref="J18" r:id="rId15"/>
    <hyperlink ref="J19" r:id="rId16"/>
    <hyperlink ref="J20" r:id="rId17"/>
    <hyperlink ref="J21" r:id="rId18"/>
    <hyperlink ref="J22" r:id="rId19"/>
    <hyperlink ref="J23" r:id="rId20"/>
    <hyperlink ref="J24" r:id="rId21"/>
    <hyperlink ref="J33" r:id="rId22"/>
    <hyperlink ref="J48" r:id="rId23"/>
    <hyperlink ref="J49" r:id="rId24"/>
    <hyperlink ref="J50" r:id="rId25"/>
    <hyperlink ref="J28" r:id="rId26"/>
    <hyperlink ref="J43" r:id="rId27"/>
    <hyperlink ref="J51" r:id="rId28"/>
    <hyperlink ref="J32" r:id="rId29"/>
    <hyperlink ref="J26" r:id="rId30"/>
  </hyperlinks>
  <pageMargins left="0.2" right="0.2" top="0.75" bottom="0.75" header="0.3" footer="0.3"/>
  <pageSetup scale="15" orientation="landscape" horizontalDpi="4294967293" verticalDpi="4294967293"/>
  <drawing r:id="rId3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5"/>
  <sheetViews>
    <sheetView workbookViewId="0">
      <selection activeCell="C104" sqref="C104"/>
    </sheetView>
  </sheetViews>
  <sheetFormatPr baseColWidth="10" defaultColWidth="9.1640625" defaultRowHeight="14" x14ac:dyDescent="0"/>
  <cols>
    <col min="1" max="1" width="2.6640625" style="95" customWidth="1"/>
    <col min="2" max="2" width="26" style="95" bestFit="1" customWidth="1"/>
    <col min="3" max="3" width="10.5" style="267" bestFit="1" customWidth="1"/>
    <col min="4" max="4" width="28" style="95" bestFit="1" customWidth="1"/>
    <col min="5" max="5" width="24.5" style="95" bestFit="1" customWidth="1"/>
    <col min="6" max="6" width="15.5" style="95" bestFit="1" customWidth="1"/>
    <col min="7" max="7" width="25" style="95" bestFit="1" customWidth="1"/>
    <col min="8" max="8" width="11.5" style="96" bestFit="1" customWidth="1"/>
    <col min="9" max="9" width="9.1640625" style="95"/>
    <col min="10" max="10" width="11.5" style="95" bestFit="1" customWidth="1"/>
    <col min="11" max="16384" width="9.1640625" style="95"/>
  </cols>
  <sheetData>
    <row r="2" spans="2:8" ht="15" thickBot="1"/>
    <row r="3" spans="2:8">
      <c r="B3" s="268" t="s">
        <v>277</v>
      </c>
      <c r="C3" s="274"/>
      <c r="D3" s="269"/>
      <c r="E3" s="269"/>
      <c r="F3" s="269"/>
      <c r="G3" s="269"/>
      <c r="H3" s="293"/>
    </row>
    <row r="4" spans="2:8">
      <c r="B4" s="270"/>
      <c r="C4" s="236"/>
      <c r="D4" s="203"/>
      <c r="E4" s="203"/>
      <c r="F4" s="203"/>
      <c r="G4" s="203"/>
      <c r="H4" s="235"/>
    </row>
    <row r="5" spans="2:8">
      <c r="B5" s="270" t="s">
        <v>190</v>
      </c>
      <c r="C5" s="340">
        <v>41739</v>
      </c>
      <c r="D5" s="203"/>
      <c r="E5" s="203"/>
      <c r="F5" s="203"/>
      <c r="G5" s="203"/>
      <c r="H5" s="235"/>
    </row>
    <row r="6" spans="2:8">
      <c r="B6" s="270"/>
      <c r="C6" s="236">
        <v>41724</v>
      </c>
      <c r="D6" s="203" t="s">
        <v>104</v>
      </c>
      <c r="E6" s="203" t="s">
        <v>455</v>
      </c>
      <c r="F6" s="203" t="s">
        <v>116</v>
      </c>
      <c r="G6" s="203" t="s">
        <v>277</v>
      </c>
      <c r="H6" s="235">
        <v>7.89</v>
      </c>
    </row>
    <row r="7" spans="2:8">
      <c r="B7" s="270"/>
      <c r="C7" s="236">
        <v>41724</v>
      </c>
      <c r="D7" s="203" t="s">
        <v>104</v>
      </c>
      <c r="E7" s="203" t="s">
        <v>178</v>
      </c>
      <c r="F7" s="203" t="s">
        <v>116</v>
      </c>
      <c r="G7" s="203" t="s">
        <v>277</v>
      </c>
      <c r="H7" s="235">
        <v>31.48</v>
      </c>
    </row>
    <row r="8" spans="2:8">
      <c r="B8" s="270"/>
      <c r="C8" s="236">
        <v>41724</v>
      </c>
      <c r="D8" s="203" t="s">
        <v>104</v>
      </c>
      <c r="E8" s="203" t="s">
        <v>178</v>
      </c>
      <c r="F8" s="203" t="s">
        <v>116</v>
      </c>
      <c r="G8" s="203" t="s">
        <v>277</v>
      </c>
      <c r="H8" s="235">
        <v>40.92</v>
      </c>
    </row>
    <row r="9" spans="2:8">
      <c r="B9" s="270"/>
      <c r="C9" s="236"/>
      <c r="D9" s="203"/>
      <c r="E9" s="203"/>
      <c r="F9" s="203"/>
      <c r="G9" s="237" t="s">
        <v>179</v>
      </c>
      <c r="H9" s="235">
        <f>SUM(H6:H8)</f>
        <v>80.289999999999992</v>
      </c>
    </row>
    <row r="10" spans="2:8">
      <c r="B10" s="270"/>
      <c r="C10" s="236"/>
      <c r="D10" s="203"/>
      <c r="E10" s="203"/>
      <c r="F10" s="203"/>
      <c r="G10" s="237"/>
      <c r="H10" s="235"/>
    </row>
    <row r="11" spans="2:8">
      <c r="B11" s="270"/>
      <c r="C11" s="236"/>
      <c r="D11" s="203"/>
      <c r="E11" s="203"/>
      <c r="F11" s="203"/>
      <c r="G11" s="237"/>
      <c r="H11" s="235"/>
    </row>
    <row r="12" spans="2:8" ht="15" thickBot="1">
      <c r="B12" s="271"/>
      <c r="C12" s="272"/>
      <c r="D12" s="273"/>
      <c r="E12" s="273"/>
      <c r="F12" s="273"/>
      <c r="G12" s="292" t="s">
        <v>191</v>
      </c>
      <c r="H12" s="294" t="e">
        <f>SUM(H9,#REF!)</f>
        <v>#REF!</v>
      </c>
    </row>
    <row r="13" spans="2:8" ht="15" thickBot="1"/>
    <row r="14" spans="2:8">
      <c r="B14" s="268" t="s">
        <v>273</v>
      </c>
      <c r="C14" s="274"/>
      <c r="D14" s="269"/>
      <c r="E14" s="269"/>
      <c r="F14" s="269"/>
      <c r="G14" s="269"/>
      <c r="H14" s="293"/>
    </row>
    <row r="15" spans="2:8">
      <c r="B15" s="270"/>
      <c r="C15" s="236"/>
      <c r="D15" s="203"/>
      <c r="E15" s="203"/>
      <c r="F15" s="203"/>
      <c r="G15" s="203"/>
      <c r="H15" s="235"/>
    </row>
    <row r="16" spans="2:8">
      <c r="B16" s="270" t="s">
        <v>190</v>
      </c>
      <c r="C16" s="340">
        <v>41722</v>
      </c>
      <c r="D16" s="203"/>
      <c r="E16" s="203"/>
      <c r="F16" s="203"/>
      <c r="G16" s="203"/>
      <c r="H16" s="235"/>
    </row>
    <row r="17" spans="2:8">
      <c r="B17" s="270"/>
      <c r="C17" s="236">
        <v>41699</v>
      </c>
      <c r="D17" s="203" t="s">
        <v>456</v>
      </c>
      <c r="E17" s="203" t="s">
        <v>178</v>
      </c>
      <c r="F17" s="203"/>
      <c r="G17" s="203" t="s">
        <v>273</v>
      </c>
      <c r="H17" s="235">
        <v>40.76</v>
      </c>
    </row>
    <row r="18" spans="2:8">
      <c r="B18" s="270"/>
      <c r="C18" s="236">
        <v>41716</v>
      </c>
      <c r="D18" s="203" t="s">
        <v>456</v>
      </c>
      <c r="E18" s="203" t="s">
        <v>178</v>
      </c>
      <c r="F18" s="203"/>
      <c r="G18" s="203" t="s">
        <v>273</v>
      </c>
      <c r="H18" s="235">
        <v>7.53</v>
      </c>
    </row>
    <row r="19" spans="2:8">
      <c r="B19" s="270"/>
      <c r="C19" s="236">
        <v>41721</v>
      </c>
      <c r="D19" s="203" t="s">
        <v>456</v>
      </c>
      <c r="E19" s="203" t="s">
        <v>194</v>
      </c>
      <c r="F19" s="203"/>
      <c r="G19" s="203" t="s">
        <v>273</v>
      </c>
      <c r="H19" s="235">
        <v>8.5399999999999991</v>
      </c>
    </row>
    <row r="20" spans="2:8">
      <c r="B20" s="270"/>
      <c r="C20" s="236">
        <v>41722</v>
      </c>
      <c r="D20" s="203" t="s">
        <v>456</v>
      </c>
      <c r="E20" s="203" t="s">
        <v>178</v>
      </c>
      <c r="F20" s="203"/>
      <c r="G20" s="203" t="s">
        <v>273</v>
      </c>
      <c r="H20" s="235">
        <v>29.44</v>
      </c>
    </row>
    <row r="21" spans="2:8">
      <c r="B21" s="270"/>
      <c r="C21" s="236"/>
      <c r="D21" s="203"/>
      <c r="E21" s="203"/>
      <c r="F21" s="203"/>
      <c r="G21" s="237" t="s">
        <v>179</v>
      </c>
      <c r="H21" s="235">
        <f>SUM(H17:H20)</f>
        <v>86.27</v>
      </c>
    </row>
    <row r="22" spans="2:8">
      <c r="B22" s="270"/>
      <c r="C22" s="236"/>
      <c r="D22" s="203"/>
      <c r="E22" s="203"/>
      <c r="F22" s="203"/>
      <c r="G22" s="237"/>
      <c r="H22" s="235"/>
    </row>
    <row r="23" spans="2:8" ht="15" thickBot="1">
      <c r="B23" s="271"/>
      <c r="C23" s="272"/>
      <c r="D23" s="273"/>
      <c r="E23" s="273"/>
      <c r="F23" s="273"/>
      <c r="G23" s="292" t="s">
        <v>191</v>
      </c>
      <c r="H23" s="294">
        <f>SUM(H21)</f>
        <v>86.27</v>
      </c>
    </row>
    <row r="24" spans="2:8" ht="15" thickBot="1"/>
    <row r="25" spans="2:8">
      <c r="B25" s="268" t="s">
        <v>318</v>
      </c>
      <c r="C25" s="274"/>
      <c r="D25" s="269"/>
      <c r="E25" s="269"/>
      <c r="F25" s="269"/>
      <c r="G25" s="269"/>
      <c r="H25" s="293"/>
    </row>
    <row r="26" spans="2:8">
      <c r="B26" s="270"/>
      <c r="C26" s="236"/>
      <c r="D26" s="203"/>
      <c r="E26" s="203"/>
      <c r="F26" s="203"/>
      <c r="G26" s="203"/>
      <c r="H26" s="235"/>
    </row>
    <row r="27" spans="2:8">
      <c r="B27" s="270" t="s">
        <v>190</v>
      </c>
      <c r="C27" s="340">
        <v>41750</v>
      </c>
      <c r="D27" s="203"/>
      <c r="E27" s="203"/>
      <c r="F27" s="203"/>
      <c r="G27" s="203"/>
      <c r="H27" s="235"/>
    </row>
    <row r="28" spans="2:8">
      <c r="B28" s="270"/>
      <c r="C28" s="236">
        <v>41705</v>
      </c>
      <c r="D28" s="95" t="s">
        <v>340</v>
      </c>
      <c r="E28" s="203" t="s">
        <v>457</v>
      </c>
      <c r="F28" s="203"/>
      <c r="G28" s="203" t="s">
        <v>318</v>
      </c>
      <c r="H28" s="235">
        <v>76.319999999999993</v>
      </c>
    </row>
    <row r="29" spans="2:8">
      <c r="B29" s="270"/>
      <c r="C29" s="236">
        <v>41716</v>
      </c>
      <c r="D29" s="95" t="s">
        <v>340</v>
      </c>
      <c r="E29" s="203" t="s">
        <v>337</v>
      </c>
      <c r="F29" s="203"/>
      <c r="G29" s="203" t="s">
        <v>318</v>
      </c>
      <c r="H29" s="235">
        <v>23.85</v>
      </c>
    </row>
    <row r="30" spans="2:8">
      <c r="B30" s="270"/>
      <c r="C30" s="236"/>
      <c r="D30" s="203"/>
      <c r="E30" s="203"/>
      <c r="F30" s="203"/>
      <c r="G30" s="237" t="s">
        <v>179</v>
      </c>
      <c r="H30" s="235">
        <f>SUM(H28:H29)</f>
        <v>100.16999999999999</v>
      </c>
    </row>
    <row r="31" spans="2:8">
      <c r="B31" s="270"/>
      <c r="C31" s="236"/>
      <c r="D31" s="203"/>
      <c r="E31" s="203"/>
      <c r="F31" s="203"/>
      <c r="G31" s="237"/>
      <c r="H31" s="235"/>
    </row>
    <row r="32" spans="2:8" ht="15" thickBot="1">
      <c r="B32" s="271"/>
      <c r="C32" s="272"/>
      <c r="D32" s="273"/>
      <c r="E32" s="273"/>
      <c r="F32" s="273"/>
      <c r="G32" s="292" t="s">
        <v>191</v>
      </c>
      <c r="H32" s="294">
        <f>SUM(H30)</f>
        <v>100.16999999999999</v>
      </c>
    </row>
    <row r="33" spans="2:8" ht="15" thickBot="1"/>
    <row r="34" spans="2:8">
      <c r="B34" s="268" t="s">
        <v>339</v>
      </c>
      <c r="C34" s="274"/>
      <c r="D34" s="269"/>
      <c r="E34" s="269"/>
      <c r="F34" s="269"/>
      <c r="G34" s="269"/>
      <c r="H34" s="293"/>
    </row>
    <row r="35" spans="2:8">
      <c r="B35" s="270"/>
      <c r="C35" s="236"/>
      <c r="D35" s="203"/>
      <c r="E35" s="203"/>
      <c r="F35" s="203"/>
      <c r="G35" s="203"/>
      <c r="H35" s="235"/>
    </row>
    <row r="36" spans="2:8">
      <c r="B36" s="270" t="s">
        <v>190</v>
      </c>
      <c r="C36" s="340">
        <v>41697</v>
      </c>
      <c r="D36" s="203"/>
      <c r="E36" s="203"/>
      <c r="F36" s="203"/>
      <c r="G36" s="203"/>
      <c r="H36" s="235"/>
    </row>
    <row r="37" spans="2:8">
      <c r="B37" s="270"/>
      <c r="C37" s="236">
        <v>41697</v>
      </c>
      <c r="D37" s="95" t="s">
        <v>312</v>
      </c>
      <c r="E37" s="203" t="s">
        <v>458</v>
      </c>
      <c r="F37" s="203"/>
      <c r="G37" s="203" t="s">
        <v>339</v>
      </c>
      <c r="H37" s="235">
        <v>130</v>
      </c>
    </row>
    <row r="38" spans="2:8">
      <c r="B38" s="270"/>
      <c r="C38" s="236">
        <v>41697</v>
      </c>
      <c r="D38" s="95" t="s">
        <v>312</v>
      </c>
      <c r="E38" s="203" t="s">
        <v>338</v>
      </c>
      <c r="F38" s="203"/>
      <c r="G38" s="203" t="s">
        <v>339</v>
      </c>
      <c r="H38" s="235">
        <v>3.46</v>
      </c>
    </row>
    <row r="39" spans="2:8">
      <c r="B39" s="270"/>
      <c r="C39" s="236">
        <v>41694</v>
      </c>
      <c r="D39" s="95" t="s">
        <v>73</v>
      </c>
      <c r="E39" s="203" t="s">
        <v>459</v>
      </c>
      <c r="F39" s="203"/>
      <c r="G39" s="203" t="s">
        <v>339</v>
      </c>
      <c r="H39" s="235">
        <v>445.07</v>
      </c>
    </row>
    <row r="40" spans="2:8">
      <c r="B40" s="270"/>
      <c r="C40" s="236"/>
      <c r="E40" s="203"/>
      <c r="F40" s="203"/>
      <c r="G40" s="203"/>
      <c r="H40" s="235"/>
    </row>
    <row r="41" spans="2:8">
      <c r="B41" s="270"/>
      <c r="C41" s="236"/>
      <c r="D41" s="203"/>
      <c r="E41" s="203"/>
      <c r="F41" s="203"/>
      <c r="G41" s="237" t="s">
        <v>179</v>
      </c>
      <c r="H41" s="235">
        <f>SUM(H37:H39)</f>
        <v>578.53</v>
      </c>
    </row>
    <row r="42" spans="2:8">
      <c r="B42" s="270"/>
      <c r="C42" s="236"/>
      <c r="D42" s="203"/>
      <c r="E42" s="203"/>
      <c r="F42" s="203"/>
      <c r="G42" s="203"/>
      <c r="H42" s="235"/>
    </row>
    <row r="43" spans="2:8">
      <c r="B43" s="270"/>
      <c r="C43" s="340">
        <v>41729</v>
      </c>
      <c r="D43" s="203"/>
      <c r="E43" s="203"/>
      <c r="F43" s="203"/>
      <c r="G43" s="203"/>
      <c r="H43" s="235"/>
    </row>
    <row r="44" spans="2:8">
      <c r="B44" s="270"/>
      <c r="C44" s="236">
        <v>41725</v>
      </c>
      <c r="D44" s="203" t="s">
        <v>223</v>
      </c>
      <c r="E44" s="203" t="s">
        <v>461</v>
      </c>
      <c r="F44" s="203"/>
      <c r="G44" s="203" t="s">
        <v>339</v>
      </c>
      <c r="H44" s="235">
        <v>19.29</v>
      </c>
    </row>
    <row r="45" spans="2:8">
      <c r="B45" s="270"/>
      <c r="C45" s="236">
        <v>41725</v>
      </c>
      <c r="D45" s="203" t="s">
        <v>73</v>
      </c>
      <c r="E45" s="203" t="s">
        <v>192</v>
      </c>
      <c r="F45" s="203"/>
      <c r="G45" s="203" t="s">
        <v>339</v>
      </c>
      <c r="H45" s="96">
        <v>49.76</v>
      </c>
    </row>
    <row r="46" spans="2:8">
      <c r="B46" s="270"/>
      <c r="C46" s="236">
        <v>41728</v>
      </c>
      <c r="D46" s="203" t="s">
        <v>460</v>
      </c>
      <c r="E46" s="203" t="s">
        <v>462</v>
      </c>
      <c r="F46" s="203"/>
      <c r="G46" s="203" t="s">
        <v>339</v>
      </c>
      <c r="H46" s="235">
        <v>75</v>
      </c>
    </row>
    <row r="47" spans="2:8">
      <c r="B47" s="270"/>
      <c r="C47" s="236">
        <v>41726</v>
      </c>
      <c r="D47" s="203" t="s">
        <v>460</v>
      </c>
      <c r="E47" s="203" t="s">
        <v>463</v>
      </c>
      <c r="F47" s="203"/>
      <c r="G47" s="203" t="s">
        <v>339</v>
      </c>
      <c r="H47" s="235">
        <v>100</v>
      </c>
    </row>
    <row r="48" spans="2:8">
      <c r="B48" s="270"/>
      <c r="C48" s="236">
        <v>41728</v>
      </c>
      <c r="D48" s="203" t="s">
        <v>460</v>
      </c>
      <c r="E48" s="277" t="s">
        <v>465</v>
      </c>
      <c r="F48" s="203"/>
      <c r="G48" s="203" t="s">
        <v>339</v>
      </c>
      <c r="H48" s="235">
        <v>100</v>
      </c>
    </row>
    <row r="49" spans="2:8">
      <c r="B49" s="270"/>
      <c r="C49" s="236">
        <v>41725</v>
      </c>
      <c r="D49" s="203" t="s">
        <v>73</v>
      </c>
      <c r="E49" s="203" t="s">
        <v>464</v>
      </c>
      <c r="F49" s="203"/>
      <c r="G49" s="203" t="s">
        <v>339</v>
      </c>
      <c r="H49" s="235">
        <v>31.56</v>
      </c>
    </row>
    <row r="50" spans="2:8">
      <c r="B50" s="270"/>
      <c r="C50" s="236">
        <v>41708</v>
      </c>
      <c r="D50" s="203" t="s">
        <v>73</v>
      </c>
      <c r="E50" s="203" t="s">
        <v>332</v>
      </c>
      <c r="F50" s="203"/>
      <c r="G50" s="203" t="s">
        <v>339</v>
      </c>
      <c r="H50" s="235">
        <v>16.100000000000001</v>
      </c>
    </row>
    <row r="51" spans="2:8">
      <c r="B51" s="270"/>
      <c r="C51" s="236">
        <v>41729</v>
      </c>
      <c r="D51" s="203" t="s">
        <v>460</v>
      </c>
      <c r="E51" s="203" t="s">
        <v>460</v>
      </c>
      <c r="F51" s="203"/>
      <c r="G51" s="203" t="s">
        <v>339</v>
      </c>
      <c r="H51" s="235">
        <v>837.5</v>
      </c>
    </row>
    <row r="52" spans="2:8">
      <c r="B52" s="270"/>
      <c r="C52" s="236"/>
      <c r="D52" s="203"/>
      <c r="E52" s="203"/>
      <c r="F52" s="203"/>
      <c r="G52" s="237" t="s">
        <v>179</v>
      </c>
      <c r="H52" s="235">
        <f>SUM(H44:H51)</f>
        <v>1229.21</v>
      </c>
    </row>
    <row r="53" spans="2:8">
      <c r="B53" s="270"/>
      <c r="C53" s="236"/>
      <c r="D53" s="203"/>
      <c r="E53" s="203"/>
      <c r="F53" s="203"/>
      <c r="G53" s="237"/>
      <c r="H53" s="235"/>
    </row>
    <row r="54" spans="2:8">
      <c r="B54" s="270"/>
      <c r="C54" s="340">
        <v>41745</v>
      </c>
      <c r="D54" s="203"/>
      <c r="E54" s="203"/>
      <c r="F54" s="203"/>
      <c r="G54" s="237"/>
      <c r="H54" s="235"/>
    </row>
    <row r="55" spans="2:8">
      <c r="B55" s="270"/>
      <c r="C55" s="236">
        <v>41729</v>
      </c>
      <c r="D55" s="203" t="s">
        <v>460</v>
      </c>
      <c r="E55" s="203" t="s">
        <v>466</v>
      </c>
      <c r="F55" s="203"/>
      <c r="G55" s="275" t="s">
        <v>339</v>
      </c>
      <c r="H55" s="235">
        <v>75</v>
      </c>
    </row>
    <row r="56" spans="2:8">
      <c r="B56" s="270"/>
      <c r="C56" s="236">
        <v>41739</v>
      </c>
      <c r="D56" s="203" t="s">
        <v>312</v>
      </c>
      <c r="E56" s="203" t="s">
        <v>445</v>
      </c>
      <c r="F56" s="203"/>
      <c r="G56" s="275" t="s">
        <v>339</v>
      </c>
      <c r="H56" s="235">
        <v>31.3</v>
      </c>
    </row>
    <row r="57" spans="2:8">
      <c r="B57" s="270"/>
      <c r="C57" s="236">
        <v>41725</v>
      </c>
      <c r="D57" s="203" t="s">
        <v>73</v>
      </c>
      <c r="E57" s="203" t="s">
        <v>178</v>
      </c>
      <c r="F57" s="203"/>
      <c r="G57" s="275" t="s">
        <v>339</v>
      </c>
      <c r="H57" s="235">
        <v>16.21</v>
      </c>
    </row>
    <row r="58" spans="2:8">
      <c r="B58" s="270"/>
      <c r="C58" s="236">
        <v>41725</v>
      </c>
      <c r="D58" s="203" t="s">
        <v>73</v>
      </c>
      <c r="E58" s="203" t="s">
        <v>178</v>
      </c>
      <c r="F58" s="203"/>
      <c r="G58" s="275" t="s">
        <v>339</v>
      </c>
      <c r="H58" s="235">
        <v>17.170000000000002</v>
      </c>
    </row>
    <row r="59" spans="2:8">
      <c r="B59" s="270"/>
      <c r="C59" s="236">
        <v>41724</v>
      </c>
      <c r="D59" s="203" t="s">
        <v>73</v>
      </c>
      <c r="E59" s="203" t="s">
        <v>178</v>
      </c>
      <c r="F59" s="203"/>
      <c r="G59" s="275" t="s">
        <v>339</v>
      </c>
      <c r="H59" s="235">
        <v>21.37</v>
      </c>
    </row>
    <row r="60" spans="2:8">
      <c r="B60" s="270"/>
      <c r="C60" s="236">
        <v>41724</v>
      </c>
      <c r="D60" s="203" t="s">
        <v>73</v>
      </c>
      <c r="E60" s="203" t="s">
        <v>178</v>
      </c>
      <c r="F60" s="203"/>
      <c r="G60" s="275" t="s">
        <v>339</v>
      </c>
      <c r="H60" s="235">
        <v>28.86</v>
      </c>
    </row>
    <row r="61" spans="2:8">
      <c r="B61" s="270"/>
      <c r="C61" s="236">
        <v>41724</v>
      </c>
      <c r="D61" s="203" t="s">
        <v>73</v>
      </c>
      <c r="E61" s="203" t="s">
        <v>178</v>
      </c>
      <c r="F61" s="203"/>
      <c r="G61" s="275" t="s">
        <v>339</v>
      </c>
      <c r="H61" s="235">
        <v>166.82</v>
      </c>
    </row>
    <row r="62" spans="2:8">
      <c r="B62" s="270"/>
      <c r="C62" s="236"/>
      <c r="D62" s="203"/>
      <c r="E62" s="203"/>
      <c r="F62" s="203"/>
      <c r="G62" s="237" t="s">
        <v>179</v>
      </c>
      <c r="H62" s="235">
        <f>SUM(H55:H61)</f>
        <v>356.73</v>
      </c>
    </row>
    <row r="63" spans="2:8">
      <c r="B63" s="270"/>
      <c r="C63" s="236"/>
      <c r="D63" s="203"/>
      <c r="E63" s="203"/>
      <c r="F63" s="203"/>
      <c r="G63" s="237"/>
      <c r="H63" s="235"/>
    </row>
    <row r="64" spans="2:8">
      <c r="B64" s="270"/>
      <c r="C64" s="340">
        <v>41592</v>
      </c>
      <c r="D64" s="203"/>
      <c r="E64" s="203"/>
      <c r="F64" s="203"/>
      <c r="G64" s="237"/>
      <c r="H64" s="235"/>
    </row>
    <row r="65" spans="2:8">
      <c r="B65" s="270"/>
      <c r="C65" s="236">
        <v>41550</v>
      </c>
      <c r="D65" s="203" t="s">
        <v>312</v>
      </c>
      <c r="E65" s="203" t="s">
        <v>189</v>
      </c>
      <c r="F65" s="203"/>
      <c r="G65" s="275" t="s">
        <v>339</v>
      </c>
      <c r="H65" s="235">
        <v>4.24</v>
      </c>
    </row>
    <row r="66" spans="2:8">
      <c r="B66" s="270"/>
      <c r="C66" s="236">
        <v>41550</v>
      </c>
      <c r="D66" s="203" t="s">
        <v>312</v>
      </c>
      <c r="E66" s="203" t="s">
        <v>467</v>
      </c>
      <c r="F66" s="203"/>
      <c r="G66" s="275" t="s">
        <v>339</v>
      </c>
      <c r="H66" s="235">
        <v>135</v>
      </c>
    </row>
    <row r="67" spans="2:8">
      <c r="B67" s="270"/>
      <c r="C67" s="236">
        <v>41522</v>
      </c>
      <c r="D67" s="203" t="s">
        <v>312</v>
      </c>
      <c r="E67" s="203" t="s">
        <v>468</v>
      </c>
      <c r="F67" s="203"/>
      <c r="G67" s="275" t="s">
        <v>339</v>
      </c>
      <c r="H67" s="235">
        <v>24.79</v>
      </c>
    </row>
    <row r="68" spans="2:8">
      <c r="B68" s="270"/>
      <c r="C68" s="236">
        <v>41522</v>
      </c>
      <c r="D68" s="203" t="s">
        <v>312</v>
      </c>
      <c r="E68" s="203" t="s">
        <v>469</v>
      </c>
      <c r="F68" s="203"/>
      <c r="G68" s="275" t="s">
        <v>339</v>
      </c>
      <c r="H68" s="235">
        <v>102.15</v>
      </c>
    </row>
    <row r="69" spans="2:8">
      <c r="B69" s="270"/>
      <c r="C69" s="236">
        <v>41576</v>
      </c>
      <c r="D69" s="203" t="s">
        <v>312</v>
      </c>
      <c r="E69" s="203" t="s">
        <v>338</v>
      </c>
      <c r="F69" s="203"/>
      <c r="G69" s="275" t="s">
        <v>339</v>
      </c>
      <c r="H69" s="235">
        <v>2.12</v>
      </c>
    </row>
    <row r="70" spans="2:8">
      <c r="B70" s="270"/>
      <c r="C70" s="236">
        <v>41592</v>
      </c>
      <c r="D70" s="203" t="s">
        <v>312</v>
      </c>
      <c r="E70" s="203" t="s">
        <v>189</v>
      </c>
      <c r="F70" s="203"/>
      <c r="G70" s="275" t="s">
        <v>339</v>
      </c>
      <c r="H70" s="235">
        <v>23.52</v>
      </c>
    </row>
    <row r="71" spans="2:8">
      <c r="B71" s="270"/>
      <c r="C71" s="236">
        <v>41941</v>
      </c>
      <c r="D71" s="203" t="s">
        <v>312</v>
      </c>
      <c r="E71" s="203" t="s">
        <v>445</v>
      </c>
      <c r="F71" s="203"/>
      <c r="G71" s="275" t="s">
        <v>339</v>
      </c>
      <c r="H71" s="235">
        <v>83.45</v>
      </c>
    </row>
    <row r="72" spans="2:8">
      <c r="B72" s="270"/>
      <c r="C72" s="236">
        <v>41592</v>
      </c>
      <c r="D72" s="203" t="s">
        <v>312</v>
      </c>
      <c r="E72" s="203" t="s">
        <v>445</v>
      </c>
      <c r="F72" s="203"/>
      <c r="G72" s="275" t="s">
        <v>339</v>
      </c>
      <c r="H72" s="235">
        <v>55.49</v>
      </c>
    </row>
    <row r="73" spans="2:8">
      <c r="B73" s="270"/>
      <c r="C73" s="236"/>
      <c r="D73" s="203"/>
      <c r="E73" s="203"/>
      <c r="F73" s="203"/>
      <c r="G73" s="237" t="s">
        <v>179</v>
      </c>
      <c r="H73" s="235">
        <f>SUM(H65:H72)</f>
        <v>430.76</v>
      </c>
    </row>
    <row r="74" spans="2:8">
      <c r="B74" s="270"/>
      <c r="D74" s="203"/>
      <c r="E74" s="203"/>
      <c r="F74" s="203"/>
      <c r="G74" s="237"/>
      <c r="H74" s="235"/>
    </row>
    <row r="75" spans="2:8" ht="15" thickBot="1">
      <c r="B75" s="271"/>
      <c r="C75" s="272"/>
      <c r="D75" s="273"/>
      <c r="E75" s="273"/>
      <c r="F75" s="273"/>
      <c r="G75" s="292" t="s">
        <v>191</v>
      </c>
      <c r="H75" s="294">
        <f>SUM(H41+H52+H62+H73)</f>
        <v>2595.2300000000005</v>
      </c>
    </row>
    <row r="76" spans="2:8" ht="15" thickBot="1"/>
    <row r="77" spans="2:8">
      <c r="B77" s="268" t="s">
        <v>275</v>
      </c>
      <c r="C77" s="274"/>
      <c r="D77" s="269"/>
      <c r="E77" s="269"/>
      <c r="F77" s="269"/>
      <c r="G77" s="269"/>
      <c r="H77" s="293"/>
    </row>
    <row r="78" spans="2:8">
      <c r="B78" s="270"/>
      <c r="C78" s="236"/>
      <c r="D78" s="203"/>
      <c r="E78" s="203"/>
      <c r="F78" s="203"/>
      <c r="G78" s="203"/>
      <c r="H78" s="235"/>
    </row>
    <row r="79" spans="2:8">
      <c r="B79" s="270" t="s">
        <v>190</v>
      </c>
      <c r="C79" s="340">
        <v>41690</v>
      </c>
      <c r="D79" s="203"/>
      <c r="E79" s="203"/>
      <c r="F79" s="203"/>
      <c r="G79" s="203"/>
      <c r="H79" s="95"/>
    </row>
    <row r="80" spans="2:8">
      <c r="B80" s="270"/>
      <c r="C80" s="236">
        <v>41689</v>
      </c>
      <c r="D80" s="95" t="s">
        <v>223</v>
      </c>
      <c r="E80" s="203" t="s">
        <v>189</v>
      </c>
      <c r="F80" s="203"/>
      <c r="G80" s="203" t="s">
        <v>275</v>
      </c>
      <c r="H80" s="235">
        <v>4.6100000000000003</v>
      </c>
    </row>
    <row r="81" spans="2:8">
      <c r="B81" s="270"/>
      <c r="C81" s="236">
        <v>41689</v>
      </c>
      <c r="D81" s="95" t="s">
        <v>223</v>
      </c>
      <c r="E81" s="203" t="s">
        <v>470</v>
      </c>
      <c r="F81" s="203"/>
      <c r="G81" s="203" t="s">
        <v>275</v>
      </c>
      <c r="H81" s="235">
        <v>10.99</v>
      </c>
    </row>
    <row r="82" spans="2:8">
      <c r="B82" s="270"/>
      <c r="C82" s="236">
        <v>41690</v>
      </c>
      <c r="D82" s="95" t="s">
        <v>51</v>
      </c>
      <c r="E82" s="203" t="s">
        <v>471</v>
      </c>
      <c r="F82" s="203"/>
      <c r="G82" s="203" t="s">
        <v>275</v>
      </c>
      <c r="H82" s="235">
        <v>4.9000000000000004</v>
      </c>
    </row>
    <row r="83" spans="2:8">
      <c r="B83" s="270"/>
      <c r="C83" s="236">
        <v>41690</v>
      </c>
      <c r="D83" s="95" t="s">
        <v>51</v>
      </c>
      <c r="E83" s="203" t="s">
        <v>471</v>
      </c>
      <c r="F83" s="203"/>
      <c r="G83" s="203" t="s">
        <v>275</v>
      </c>
      <c r="H83" s="235">
        <v>4.2</v>
      </c>
    </row>
    <row r="84" spans="2:8">
      <c r="B84" s="270"/>
      <c r="C84" s="236">
        <v>41690</v>
      </c>
      <c r="D84" s="95" t="s">
        <v>51</v>
      </c>
      <c r="E84" s="203" t="s">
        <v>471</v>
      </c>
      <c r="F84" s="203"/>
      <c r="G84" s="203" t="s">
        <v>275</v>
      </c>
      <c r="H84" s="235">
        <v>8.4</v>
      </c>
    </row>
    <row r="85" spans="2:8">
      <c r="B85" s="270"/>
      <c r="C85" s="236"/>
      <c r="E85" s="203"/>
      <c r="F85" s="203"/>
      <c r="G85" s="203"/>
      <c r="H85" s="235"/>
    </row>
    <row r="86" spans="2:8">
      <c r="B86" s="270"/>
      <c r="C86" s="236"/>
      <c r="E86" s="203"/>
      <c r="F86" s="203"/>
      <c r="G86" s="203"/>
      <c r="H86" s="235"/>
    </row>
    <row r="87" spans="2:8">
      <c r="B87" s="270"/>
      <c r="C87" s="236"/>
      <c r="E87" s="203"/>
      <c r="F87" s="203"/>
      <c r="G87" s="203"/>
      <c r="H87" s="235"/>
    </row>
    <row r="88" spans="2:8">
      <c r="B88" s="270"/>
      <c r="C88" s="236"/>
      <c r="E88" s="203"/>
      <c r="F88" s="203"/>
      <c r="G88" s="237" t="s">
        <v>179</v>
      </c>
      <c r="H88" s="235">
        <f>SUM(H80:H87)</f>
        <v>33.1</v>
      </c>
    </row>
    <row r="89" spans="2:8">
      <c r="B89" s="270"/>
      <c r="C89" s="236"/>
      <c r="D89" s="203"/>
      <c r="E89" s="203"/>
      <c r="F89" s="203"/>
      <c r="G89" s="237"/>
      <c r="H89" s="235"/>
    </row>
    <row r="90" spans="2:8" ht="15" thickBot="1">
      <c r="B90" s="271"/>
      <c r="C90" s="272"/>
      <c r="D90" s="273"/>
      <c r="E90" s="273"/>
      <c r="F90" s="273"/>
      <c r="G90" s="292" t="s">
        <v>191</v>
      </c>
      <c r="H90" s="294" t="e">
        <f>SUM(H88,#REF!)</f>
        <v>#REF!</v>
      </c>
    </row>
    <row r="91" spans="2:8" ht="15" thickBot="1"/>
    <row r="92" spans="2:8">
      <c r="B92" s="268" t="s">
        <v>357</v>
      </c>
      <c r="C92" s="274"/>
      <c r="D92" s="269"/>
      <c r="E92" s="269"/>
      <c r="F92" s="269"/>
      <c r="G92" s="269"/>
      <c r="H92" s="293"/>
    </row>
    <row r="93" spans="2:8">
      <c r="B93" s="270"/>
      <c r="C93" s="236"/>
      <c r="D93" s="203"/>
      <c r="E93" s="203"/>
      <c r="F93" s="203"/>
      <c r="G93" s="203"/>
      <c r="H93" s="235"/>
    </row>
    <row r="94" spans="2:8">
      <c r="B94" s="270" t="s">
        <v>190</v>
      </c>
      <c r="C94" s="340">
        <v>41725</v>
      </c>
      <c r="D94" s="203"/>
      <c r="E94" s="203"/>
      <c r="F94" s="203"/>
      <c r="G94" s="203"/>
      <c r="H94" s="235"/>
    </row>
    <row r="95" spans="2:8">
      <c r="B95" s="270"/>
      <c r="C95" s="236">
        <v>41725</v>
      </c>
      <c r="D95" s="95" t="s">
        <v>73</v>
      </c>
      <c r="E95" s="203" t="s">
        <v>178</v>
      </c>
      <c r="F95" s="203"/>
      <c r="G95" s="203" t="s">
        <v>357</v>
      </c>
      <c r="H95" s="235">
        <v>32.01</v>
      </c>
    </row>
    <row r="96" spans="2:8">
      <c r="B96" s="270"/>
      <c r="C96" s="236"/>
      <c r="D96" s="203"/>
      <c r="E96" s="203"/>
      <c r="F96" s="203"/>
      <c r="G96" s="237" t="s">
        <v>179</v>
      </c>
      <c r="H96" s="235">
        <f>SUM(H95:H95)</f>
        <v>32.01</v>
      </c>
    </row>
    <row r="97" spans="2:8">
      <c r="B97" s="270"/>
      <c r="C97" s="340"/>
      <c r="D97" s="203"/>
      <c r="E97" s="203"/>
      <c r="F97" s="203"/>
      <c r="G97" s="237"/>
      <c r="H97" s="235"/>
    </row>
    <row r="98" spans="2:8">
      <c r="B98" s="270"/>
      <c r="C98" s="236"/>
      <c r="D98" s="203"/>
      <c r="E98" s="203"/>
      <c r="F98" s="203"/>
      <c r="G98" s="237"/>
      <c r="H98" s="235"/>
    </row>
    <row r="99" spans="2:8" ht="15" thickBot="1">
      <c r="B99" s="271"/>
      <c r="C99" s="272"/>
      <c r="D99" s="273"/>
      <c r="E99" s="273"/>
      <c r="F99" s="273"/>
      <c r="G99" s="292" t="s">
        <v>191</v>
      </c>
      <c r="H99" s="294">
        <f>H96</f>
        <v>32.01</v>
      </c>
    </row>
    <row r="100" spans="2:8" ht="15" thickBot="1"/>
    <row r="101" spans="2:8">
      <c r="B101" s="268" t="s">
        <v>279</v>
      </c>
      <c r="C101" s="274"/>
      <c r="D101" s="269"/>
      <c r="E101" s="269"/>
      <c r="F101" s="269"/>
      <c r="G101" s="269"/>
      <c r="H101" s="293"/>
    </row>
    <row r="102" spans="2:8">
      <c r="B102" s="270"/>
      <c r="C102" s="236"/>
      <c r="D102" s="203"/>
      <c r="E102" s="203"/>
      <c r="F102" s="203"/>
      <c r="G102" s="203"/>
      <c r="H102" s="235"/>
    </row>
    <row r="103" spans="2:8">
      <c r="B103" s="270" t="s">
        <v>190</v>
      </c>
      <c r="C103" s="340">
        <v>41722</v>
      </c>
      <c r="D103" s="203"/>
      <c r="E103" s="203"/>
      <c r="F103" s="203"/>
      <c r="G103" s="203"/>
      <c r="H103" s="235"/>
    </row>
    <row r="104" spans="2:8">
      <c r="B104" s="270"/>
      <c r="C104" s="236">
        <v>41720</v>
      </c>
      <c r="D104" s="95" t="s">
        <v>73</v>
      </c>
      <c r="E104" s="203" t="s">
        <v>192</v>
      </c>
      <c r="F104" s="203"/>
      <c r="G104" s="203" t="s">
        <v>279</v>
      </c>
      <c r="H104" s="235">
        <v>5.89</v>
      </c>
    </row>
    <row r="105" spans="2:8">
      <c r="B105" s="270"/>
      <c r="C105" s="236">
        <v>41712</v>
      </c>
      <c r="D105" s="95" t="s">
        <v>73</v>
      </c>
      <c r="E105" s="203" t="s">
        <v>192</v>
      </c>
      <c r="F105" s="203"/>
      <c r="G105" s="203" t="s">
        <v>279</v>
      </c>
      <c r="H105" s="235">
        <v>28.89</v>
      </c>
    </row>
    <row r="106" spans="2:8">
      <c r="B106" s="270"/>
      <c r="C106" s="236">
        <v>41722</v>
      </c>
      <c r="D106" s="95" t="s">
        <v>73</v>
      </c>
      <c r="E106" s="203" t="s">
        <v>178</v>
      </c>
      <c r="F106" s="203"/>
      <c r="G106" s="203" t="s">
        <v>279</v>
      </c>
      <c r="H106" s="235">
        <v>9.17</v>
      </c>
    </row>
    <row r="107" spans="2:8">
      <c r="B107" s="270"/>
      <c r="C107" s="236">
        <v>41712</v>
      </c>
      <c r="D107" s="95" t="s">
        <v>73</v>
      </c>
      <c r="E107" s="203" t="s">
        <v>178</v>
      </c>
      <c r="F107" s="203"/>
      <c r="G107" s="203" t="s">
        <v>279</v>
      </c>
      <c r="H107" s="235">
        <v>21.35</v>
      </c>
    </row>
    <row r="108" spans="2:8">
      <c r="B108" s="270"/>
      <c r="C108" s="236"/>
      <c r="D108" s="203"/>
      <c r="E108" s="203"/>
      <c r="F108" s="203"/>
      <c r="G108" s="237" t="s">
        <v>179</v>
      </c>
      <c r="H108" s="235">
        <f>SUM(H104:H107)</f>
        <v>65.300000000000011</v>
      </c>
    </row>
    <row r="109" spans="2:8">
      <c r="B109" s="270"/>
      <c r="C109" s="340"/>
      <c r="D109" s="203"/>
      <c r="E109" s="203"/>
      <c r="F109" s="203"/>
      <c r="G109" s="237"/>
      <c r="H109" s="235"/>
    </row>
    <row r="110" spans="2:8">
      <c r="B110" s="270"/>
      <c r="C110" s="236"/>
      <c r="D110" s="203"/>
      <c r="E110" s="203"/>
      <c r="F110" s="203"/>
      <c r="G110" s="237"/>
      <c r="H110" s="235"/>
    </row>
    <row r="111" spans="2:8" ht="15" thickBot="1">
      <c r="B111" s="271"/>
      <c r="C111" s="272"/>
      <c r="D111" s="273"/>
      <c r="E111" s="273"/>
      <c r="F111" s="273"/>
      <c r="G111" s="292" t="s">
        <v>191</v>
      </c>
      <c r="H111" s="294">
        <f>H108</f>
        <v>65.300000000000011</v>
      </c>
    </row>
    <row r="112" spans="2:8" ht="15" thickBot="1"/>
    <row r="113" spans="2:8">
      <c r="B113" s="268" t="s">
        <v>314</v>
      </c>
      <c r="C113" s="274"/>
      <c r="D113" s="269"/>
      <c r="E113" s="269"/>
      <c r="F113" s="269"/>
      <c r="G113" s="269"/>
      <c r="H113" s="293"/>
    </row>
    <row r="114" spans="2:8">
      <c r="B114" s="270"/>
      <c r="C114" s="236"/>
      <c r="D114" s="203"/>
      <c r="E114" s="203"/>
      <c r="F114" s="203"/>
      <c r="G114" s="203"/>
      <c r="H114" s="235"/>
    </row>
    <row r="115" spans="2:8">
      <c r="B115" s="270" t="s">
        <v>190</v>
      </c>
      <c r="C115" s="340">
        <v>41554</v>
      </c>
      <c r="D115" s="203"/>
      <c r="E115" s="203"/>
      <c r="F115" s="203"/>
      <c r="G115" s="203"/>
      <c r="H115" s="235"/>
    </row>
    <row r="116" spans="2:8">
      <c r="B116" s="270"/>
      <c r="C116" s="236">
        <v>41531</v>
      </c>
      <c r="D116" s="95" t="s">
        <v>223</v>
      </c>
      <c r="E116" s="203" t="s">
        <v>447</v>
      </c>
      <c r="F116" s="203"/>
      <c r="G116" s="203" t="s">
        <v>314</v>
      </c>
      <c r="H116" s="235">
        <v>29.48</v>
      </c>
    </row>
    <row r="117" spans="2:8">
      <c r="B117" s="270"/>
      <c r="C117" s="236">
        <v>41550</v>
      </c>
      <c r="D117" s="95" t="s">
        <v>223</v>
      </c>
      <c r="E117" s="203" t="s">
        <v>447</v>
      </c>
      <c r="F117" s="203"/>
      <c r="G117" s="203" t="s">
        <v>314</v>
      </c>
      <c r="H117" s="235">
        <v>24.35</v>
      </c>
    </row>
    <row r="118" spans="2:8">
      <c r="B118" s="270"/>
      <c r="C118" s="236">
        <v>41554</v>
      </c>
      <c r="D118" s="95" t="s">
        <v>223</v>
      </c>
      <c r="E118" s="203" t="s">
        <v>447</v>
      </c>
      <c r="F118" s="203"/>
      <c r="G118" s="203" t="s">
        <v>314</v>
      </c>
      <c r="H118" s="235">
        <v>22.21</v>
      </c>
    </row>
    <row r="119" spans="2:8">
      <c r="B119" s="270"/>
      <c r="C119" s="236"/>
      <c r="D119" s="203"/>
      <c r="E119" s="203"/>
      <c r="F119" s="203"/>
      <c r="G119" s="203"/>
      <c r="H119" s="235"/>
    </row>
    <row r="120" spans="2:8">
      <c r="B120" s="270"/>
      <c r="C120" s="236"/>
      <c r="D120" s="203"/>
      <c r="E120" s="203"/>
      <c r="F120" s="203"/>
      <c r="G120" s="237" t="s">
        <v>179</v>
      </c>
      <c r="H120" s="235">
        <f>SUM(H116:H119)</f>
        <v>76.039999999999992</v>
      </c>
    </row>
    <row r="121" spans="2:8">
      <c r="B121" s="270"/>
      <c r="C121" s="340">
        <v>41365</v>
      </c>
      <c r="D121" s="203"/>
      <c r="E121" s="203"/>
      <c r="F121" s="203"/>
      <c r="G121" s="237"/>
      <c r="H121" s="235"/>
    </row>
    <row r="122" spans="2:8" ht="15" thickBot="1">
      <c r="B122" s="271"/>
      <c r="C122" s="272"/>
      <c r="D122" s="273"/>
      <c r="E122" s="273"/>
      <c r="F122" s="273"/>
      <c r="G122" s="292" t="s">
        <v>191</v>
      </c>
      <c r="H122" s="294">
        <f>H120</f>
        <v>76.039999999999992</v>
      </c>
    </row>
    <row r="123" spans="2:8" ht="15" thickBot="1"/>
    <row r="124" spans="2:8">
      <c r="B124" s="268" t="s">
        <v>284</v>
      </c>
      <c r="C124" s="274"/>
      <c r="D124" s="269"/>
      <c r="E124" s="269"/>
      <c r="F124" s="269"/>
      <c r="G124" s="269"/>
      <c r="H124" s="293"/>
    </row>
    <row r="125" spans="2:8">
      <c r="B125" s="270"/>
      <c r="C125" s="236"/>
      <c r="D125" s="203"/>
      <c r="E125" s="203"/>
      <c r="F125" s="203"/>
      <c r="G125" s="203"/>
      <c r="H125" s="235"/>
    </row>
    <row r="126" spans="2:8">
      <c r="B126" s="270" t="s">
        <v>190</v>
      </c>
      <c r="C126" s="340">
        <v>41724</v>
      </c>
      <c r="D126" s="203"/>
      <c r="E126" s="203"/>
      <c r="F126" s="203"/>
      <c r="G126" s="203"/>
      <c r="H126" s="235"/>
    </row>
    <row r="127" spans="2:8">
      <c r="B127" s="270"/>
      <c r="C127" s="236">
        <v>45377</v>
      </c>
      <c r="D127" s="95" t="s">
        <v>73</v>
      </c>
      <c r="E127" s="203" t="s">
        <v>178</v>
      </c>
      <c r="F127" s="203"/>
      <c r="G127" s="203" t="s">
        <v>284</v>
      </c>
      <c r="H127" s="235">
        <v>26.97</v>
      </c>
    </row>
    <row r="128" spans="2:8">
      <c r="B128" s="270"/>
      <c r="C128" s="236"/>
      <c r="D128" s="203"/>
      <c r="E128" s="203"/>
      <c r="F128" s="203"/>
      <c r="G128" s="237" t="s">
        <v>179</v>
      </c>
      <c r="H128" s="235">
        <f>SUM(H127:H127)</f>
        <v>26.97</v>
      </c>
    </row>
    <row r="129" spans="2:8">
      <c r="B129" s="270"/>
      <c r="C129" s="236"/>
      <c r="D129" s="203"/>
      <c r="E129" s="203"/>
      <c r="F129" s="203"/>
      <c r="G129" s="237"/>
      <c r="H129" s="235"/>
    </row>
    <row r="130" spans="2:8" ht="15" thickBot="1">
      <c r="B130" s="271"/>
      <c r="C130" s="272"/>
      <c r="D130" s="273"/>
      <c r="E130" s="273"/>
      <c r="F130" s="273"/>
      <c r="G130" s="292" t="s">
        <v>191</v>
      </c>
      <c r="H130" s="294">
        <f>H128</f>
        <v>26.97</v>
      </c>
    </row>
    <row r="131" spans="2:8" ht="15" thickBot="1"/>
    <row r="132" spans="2:8">
      <c r="B132" s="268" t="s">
        <v>336</v>
      </c>
      <c r="C132" s="274"/>
      <c r="D132" s="269"/>
      <c r="E132" s="269"/>
      <c r="F132" s="269"/>
      <c r="G132" s="269"/>
      <c r="H132" s="293"/>
    </row>
    <row r="133" spans="2:8">
      <c r="B133" s="270"/>
      <c r="C133" s="236"/>
      <c r="D133" s="203"/>
      <c r="E133" s="203"/>
      <c r="F133" s="203"/>
      <c r="G133" s="203"/>
      <c r="H133" s="235"/>
    </row>
    <row r="134" spans="2:8">
      <c r="B134" s="270" t="s">
        <v>190</v>
      </c>
      <c r="C134" s="340">
        <v>41750</v>
      </c>
      <c r="D134" s="203"/>
      <c r="E134" s="203"/>
      <c r="F134" s="203"/>
      <c r="G134" s="203"/>
      <c r="H134" s="235"/>
    </row>
    <row r="135" spans="2:8">
      <c r="B135" s="270"/>
      <c r="C135" s="236">
        <v>41593</v>
      </c>
      <c r="D135" s="95" t="s">
        <v>104</v>
      </c>
      <c r="E135" s="95" t="s">
        <v>192</v>
      </c>
      <c r="F135" s="203"/>
      <c r="G135" s="203" t="s">
        <v>336</v>
      </c>
      <c r="H135" s="235">
        <v>337.36</v>
      </c>
    </row>
    <row r="136" spans="2:8">
      <c r="B136" s="270"/>
      <c r="C136" s="236">
        <v>41603</v>
      </c>
      <c r="D136" s="95" t="s">
        <v>104</v>
      </c>
      <c r="E136" s="203" t="s">
        <v>472</v>
      </c>
      <c r="F136" s="203"/>
      <c r="G136" s="203" t="s">
        <v>336</v>
      </c>
      <c r="H136" s="235">
        <v>5.78</v>
      </c>
    </row>
    <row r="137" spans="2:8">
      <c r="B137" s="270"/>
      <c r="C137" s="236">
        <v>41663</v>
      </c>
      <c r="D137" s="95" t="s">
        <v>104</v>
      </c>
      <c r="E137" s="203" t="s">
        <v>473</v>
      </c>
      <c r="F137" s="203"/>
      <c r="G137" s="203" t="s">
        <v>336</v>
      </c>
      <c r="H137" s="235">
        <v>49.1</v>
      </c>
    </row>
    <row r="138" spans="2:8">
      <c r="B138" s="270"/>
      <c r="C138" s="236">
        <v>41708</v>
      </c>
      <c r="D138" s="95" t="s">
        <v>104</v>
      </c>
      <c r="E138" s="203" t="s">
        <v>473</v>
      </c>
      <c r="F138" s="203"/>
      <c r="G138" s="203" t="s">
        <v>336</v>
      </c>
      <c r="H138" s="235">
        <v>314.06</v>
      </c>
    </row>
    <row r="139" spans="2:8">
      <c r="B139" s="270"/>
      <c r="C139" s="236">
        <v>41710</v>
      </c>
      <c r="D139" s="95" t="s">
        <v>104</v>
      </c>
      <c r="E139" s="203" t="s">
        <v>473</v>
      </c>
      <c r="F139" s="203"/>
      <c r="G139" s="203" t="s">
        <v>336</v>
      </c>
      <c r="H139" s="235">
        <v>63.69</v>
      </c>
    </row>
    <row r="140" spans="2:8">
      <c r="B140" s="270"/>
      <c r="C140" s="236">
        <v>41717</v>
      </c>
      <c r="D140" s="95" t="s">
        <v>104</v>
      </c>
      <c r="E140" s="203" t="s">
        <v>337</v>
      </c>
      <c r="F140" s="203"/>
      <c r="G140" s="203" t="s">
        <v>336</v>
      </c>
      <c r="H140" s="235">
        <v>124.19</v>
      </c>
    </row>
    <row r="141" spans="2:8">
      <c r="B141" s="270"/>
      <c r="C141" s="236">
        <v>41724</v>
      </c>
      <c r="D141" s="95" t="s">
        <v>104</v>
      </c>
      <c r="E141" s="203" t="s">
        <v>337</v>
      </c>
      <c r="F141" s="203"/>
      <c r="G141" s="203" t="s">
        <v>336</v>
      </c>
      <c r="H141" s="235">
        <v>103.58</v>
      </c>
    </row>
    <row r="142" spans="2:8">
      <c r="B142" s="270"/>
      <c r="C142" s="236">
        <v>41725</v>
      </c>
      <c r="D142" s="95" t="s">
        <v>104</v>
      </c>
      <c r="E142" s="203" t="s">
        <v>187</v>
      </c>
      <c r="F142" s="203"/>
      <c r="G142" s="203" t="s">
        <v>336</v>
      </c>
      <c r="H142" s="235">
        <v>34.18</v>
      </c>
    </row>
    <row r="143" spans="2:8">
      <c r="B143" s="270"/>
      <c r="C143" s="236"/>
      <c r="D143" s="203"/>
      <c r="E143" s="203"/>
      <c r="F143" s="203"/>
      <c r="G143" s="237" t="s">
        <v>179</v>
      </c>
      <c r="H143" s="235">
        <f>SUM(H135:H142)</f>
        <v>1031.94</v>
      </c>
    </row>
    <row r="144" spans="2:8">
      <c r="B144" s="270"/>
      <c r="C144" s="236"/>
      <c r="D144" s="203"/>
      <c r="E144" s="203"/>
      <c r="F144" s="203"/>
      <c r="G144" s="237"/>
      <c r="H144" s="235"/>
    </row>
    <row r="145" spans="2:8" ht="15" thickBot="1">
      <c r="B145" s="271"/>
      <c r="C145" s="272"/>
      <c r="D145" s="273"/>
      <c r="E145" s="273"/>
      <c r="F145" s="273"/>
      <c r="G145" s="292" t="s">
        <v>191</v>
      </c>
      <c r="H145" s="294">
        <f>H143</f>
        <v>1031.94</v>
      </c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G66"/>
  <sheetViews>
    <sheetView tabSelected="1" topLeftCell="A33" zoomScale="115" zoomScaleNormal="115" zoomScalePageLayoutView="115" workbookViewId="0">
      <selection activeCell="E65" sqref="E65"/>
    </sheetView>
  </sheetViews>
  <sheetFormatPr baseColWidth="10" defaultColWidth="8.83203125" defaultRowHeight="14" x14ac:dyDescent="0"/>
  <cols>
    <col min="3" max="3" width="25.1640625" bestFit="1" customWidth="1"/>
    <col min="4" max="4" width="11.5" bestFit="1" customWidth="1"/>
    <col min="5" max="5" width="15.33203125" customWidth="1"/>
    <col min="7" max="7" width="10.5" bestFit="1" customWidth="1"/>
  </cols>
  <sheetData>
    <row r="2" spans="1:7" ht="15" thickBot="1"/>
    <row r="3" spans="1:7" ht="19" thickBot="1">
      <c r="C3" s="399" t="s">
        <v>103</v>
      </c>
      <c r="D3" s="400"/>
      <c r="E3" s="401"/>
    </row>
    <row r="4" spans="1:7" ht="18">
      <c r="C4" s="5"/>
      <c r="D4" s="5"/>
      <c r="E4" s="5"/>
    </row>
    <row r="5" spans="1:7" ht="19" thickBot="1">
      <c r="C5" s="5"/>
      <c r="D5" s="5"/>
      <c r="E5" s="5"/>
    </row>
    <row r="6" spans="1:7" ht="19" thickTop="1">
      <c r="C6" s="8" t="s">
        <v>57</v>
      </c>
      <c r="D6" s="9"/>
      <c r="E6" s="297">
        <f>SUM(E8:E12)</f>
        <v>28917.3</v>
      </c>
    </row>
    <row r="7" spans="1:7" ht="18">
      <c r="C7" s="10"/>
      <c r="D7" s="3"/>
      <c r="E7" s="298"/>
    </row>
    <row r="8" spans="1:7" ht="15">
      <c r="C8" s="11" t="s">
        <v>102</v>
      </c>
      <c r="D8" s="6"/>
      <c r="E8" s="299">
        <f>Cash!G77</f>
        <v>2336.7799999999997</v>
      </c>
    </row>
    <row r="9" spans="1:7" ht="15">
      <c r="C9" s="11"/>
      <c r="D9" s="6"/>
      <c r="E9" s="300"/>
    </row>
    <row r="10" spans="1:7" ht="15">
      <c r="C10" s="13" t="s">
        <v>90</v>
      </c>
      <c r="D10" s="6"/>
      <c r="E10" s="299">
        <f>'4'!F40</f>
        <v>4929.7900000000009</v>
      </c>
    </row>
    <row r="11" spans="1:7" ht="15">
      <c r="C11" s="13"/>
      <c r="D11" s="6"/>
      <c r="E11" s="12"/>
    </row>
    <row r="12" spans="1:7" ht="16" thickBot="1">
      <c r="C12" s="14" t="s">
        <v>91</v>
      </c>
      <c r="D12" s="15"/>
      <c r="E12" s="37">
        <f>'9'!F36</f>
        <v>21650.73</v>
      </c>
    </row>
    <row r="13" spans="1:7" ht="15" thickTop="1">
      <c r="A13" s="3"/>
      <c r="B13" s="3"/>
      <c r="C13" s="3"/>
      <c r="D13" s="3"/>
      <c r="E13" s="3"/>
      <c r="F13" s="3"/>
    </row>
    <row r="14" spans="1:7" ht="15" thickBot="1">
      <c r="A14" s="3"/>
      <c r="B14" s="3"/>
      <c r="C14" s="3"/>
      <c r="D14" s="3"/>
      <c r="E14" s="3"/>
      <c r="F14" s="3"/>
    </row>
    <row r="15" spans="1:7" ht="19" thickTop="1">
      <c r="A15" s="3"/>
      <c r="B15" s="3"/>
      <c r="C15" s="8" t="s">
        <v>50</v>
      </c>
      <c r="D15" s="9"/>
      <c r="E15" s="16">
        <f>SUM(E17:E33)</f>
        <v>20298.939999999999</v>
      </c>
      <c r="F15" s="3"/>
    </row>
    <row r="16" spans="1:7">
      <c r="A16" s="3"/>
      <c r="B16" s="3"/>
      <c r="C16" s="17"/>
      <c r="D16" s="3"/>
      <c r="E16" s="18"/>
      <c r="F16" s="3"/>
      <c r="G16" s="2"/>
    </row>
    <row r="17" spans="1:7">
      <c r="A17" s="3"/>
      <c r="B17" s="3"/>
      <c r="C17" s="19" t="s">
        <v>51</v>
      </c>
      <c r="D17" s="3"/>
      <c r="E17" s="18">
        <f>'Sponsor Categorized'!I51</f>
        <v>1850</v>
      </c>
      <c r="F17" s="3"/>
      <c r="G17" s="2"/>
    </row>
    <row r="18" spans="1:7">
      <c r="A18" s="3"/>
      <c r="B18" s="3"/>
      <c r="C18" s="19"/>
      <c r="D18" s="3"/>
      <c r="E18" s="18"/>
      <c r="F18" s="3"/>
      <c r="G18" s="2"/>
    </row>
    <row r="19" spans="1:7">
      <c r="A19" s="3"/>
      <c r="B19" s="3"/>
      <c r="C19" s="19" t="s">
        <v>92</v>
      </c>
      <c r="D19" s="3"/>
      <c r="E19" s="18">
        <f>'Sponsor Categorized'!I73</f>
        <v>2750</v>
      </c>
      <c r="F19" s="3"/>
    </row>
    <row r="20" spans="1:7">
      <c r="A20" s="3"/>
      <c r="B20" s="3"/>
      <c r="C20" s="19"/>
      <c r="D20" s="3"/>
      <c r="E20" s="18"/>
      <c r="F20" s="3"/>
      <c r="G20" s="2"/>
    </row>
    <row r="21" spans="1:7">
      <c r="A21" s="3"/>
      <c r="B21" s="3"/>
      <c r="C21" s="19" t="s">
        <v>150</v>
      </c>
      <c r="D21" s="3"/>
      <c r="E21" s="18">
        <f>SUM('Sponsor Categorized'!I58:I59)</f>
        <v>13028.939999999999</v>
      </c>
      <c r="F21" s="3"/>
    </row>
    <row r="22" spans="1:7">
      <c r="A22" s="3"/>
      <c r="B22" s="3"/>
      <c r="C22" s="17"/>
      <c r="D22" s="3"/>
      <c r="E22" s="18"/>
      <c r="F22" s="3"/>
    </row>
    <row r="23" spans="1:7">
      <c r="A23" s="3"/>
      <c r="B23" s="3"/>
      <c r="C23" s="19" t="s">
        <v>29</v>
      </c>
      <c r="D23" s="3"/>
      <c r="E23" s="18">
        <f>'Sponsor Categorized'!I57</f>
        <v>0</v>
      </c>
      <c r="F23" s="3"/>
    </row>
    <row r="24" spans="1:7">
      <c r="A24" s="3"/>
      <c r="B24" s="3"/>
      <c r="C24" s="17"/>
      <c r="D24" s="3"/>
      <c r="E24" s="18"/>
      <c r="F24" s="3"/>
    </row>
    <row r="25" spans="1:7">
      <c r="A25" s="3"/>
      <c r="B25" s="3"/>
      <c r="C25" s="63" t="s">
        <v>174</v>
      </c>
      <c r="D25" s="3"/>
      <c r="E25" s="18">
        <f>'Sponsor Categorized'!I88</f>
        <v>570</v>
      </c>
      <c r="F25" s="3"/>
    </row>
    <row r="26" spans="1:7">
      <c r="A26" s="3"/>
      <c r="B26" s="3"/>
      <c r="C26" s="17"/>
      <c r="D26" s="3"/>
      <c r="E26" s="18"/>
      <c r="F26" s="3"/>
    </row>
    <row r="27" spans="1:7">
      <c r="A27" s="3"/>
      <c r="B27" s="3"/>
      <c r="C27" s="19" t="s">
        <v>52</v>
      </c>
      <c r="D27" s="3"/>
      <c r="E27" s="18">
        <f>Cash!K11</f>
        <v>700</v>
      </c>
      <c r="F27" s="3"/>
    </row>
    <row r="28" spans="1:7">
      <c r="A28" s="3"/>
      <c r="B28" s="3"/>
      <c r="C28" s="17"/>
      <c r="D28" s="3"/>
      <c r="E28" s="18"/>
      <c r="F28" s="3"/>
    </row>
    <row r="29" spans="1:7">
      <c r="A29" s="3"/>
      <c r="B29" s="3"/>
      <c r="C29" s="19" t="s">
        <v>93</v>
      </c>
      <c r="D29" s="3"/>
      <c r="E29" s="18">
        <f>Cash!K13</f>
        <v>0</v>
      </c>
      <c r="F29" s="3"/>
    </row>
    <row r="30" spans="1:7">
      <c r="A30" s="3"/>
      <c r="B30" s="3"/>
      <c r="C30" s="19"/>
      <c r="D30" s="3"/>
      <c r="E30" s="18"/>
      <c r="F30" s="3"/>
    </row>
    <row r="31" spans="1:7">
      <c r="A31" s="3"/>
      <c r="B31" s="3"/>
      <c r="C31" s="19" t="s">
        <v>94</v>
      </c>
      <c r="D31" s="3"/>
      <c r="E31" s="18">
        <f>Cash!K12</f>
        <v>1400</v>
      </c>
      <c r="F31" s="3"/>
    </row>
    <row r="32" spans="1:7">
      <c r="A32" s="3"/>
      <c r="B32" s="3"/>
      <c r="C32" s="17"/>
      <c r="D32" s="3"/>
      <c r="E32" s="18"/>
      <c r="F32" s="3"/>
    </row>
    <row r="33" spans="1:7" ht="15" thickBot="1">
      <c r="A33" s="3"/>
      <c r="B33" s="3"/>
      <c r="C33" s="20" t="s">
        <v>53</v>
      </c>
      <c r="D33" s="21"/>
      <c r="E33" s="22">
        <v>0</v>
      </c>
      <c r="F33" s="3"/>
    </row>
    <row r="34" spans="1:7" ht="15" thickTop="1">
      <c r="A34" s="3"/>
      <c r="B34" s="3"/>
      <c r="C34" s="3"/>
      <c r="D34" s="3"/>
      <c r="E34" s="4"/>
      <c r="F34" s="3"/>
    </row>
    <row r="35" spans="1:7" ht="15" thickBot="1">
      <c r="A35" s="3"/>
      <c r="B35" s="3"/>
      <c r="C35" s="3"/>
      <c r="D35" s="3"/>
      <c r="E35" s="4"/>
      <c r="F35" s="3"/>
    </row>
    <row r="36" spans="1:7" ht="19" thickTop="1">
      <c r="A36" s="3"/>
      <c r="B36" s="3"/>
      <c r="C36" s="8" t="s">
        <v>54</v>
      </c>
      <c r="D36" s="9"/>
      <c r="E36" s="16">
        <f>SUM(E37:E65)</f>
        <v>14131.359999999999</v>
      </c>
      <c r="F36" s="3"/>
      <c r="G36" s="357"/>
    </row>
    <row r="37" spans="1:7">
      <c r="A37" s="3"/>
      <c r="B37" s="3"/>
      <c r="C37" s="17"/>
      <c r="D37" s="3"/>
      <c r="E37" s="18"/>
      <c r="F37" s="3"/>
    </row>
    <row r="38" spans="1:7" ht="15">
      <c r="A38" s="3"/>
      <c r="B38" s="3"/>
      <c r="C38" s="23" t="s">
        <v>304</v>
      </c>
      <c r="D38" s="6"/>
      <c r="E38" s="12"/>
      <c r="F38" s="3"/>
    </row>
    <row r="39" spans="1:7" ht="15">
      <c r="A39" s="3"/>
      <c r="B39" s="3"/>
      <c r="C39" s="11" t="s">
        <v>95</v>
      </c>
      <c r="D39" s="7">
        <v>1237.1300000000001</v>
      </c>
      <c r="E39" s="24"/>
      <c r="F39" s="3"/>
    </row>
    <row r="40" spans="1:7" ht="15">
      <c r="A40" s="3"/>
      <c r="B40" s="3"/>
      <c r="C40" s="11" t="s">
        <v>96</v>
      </c>
      <c r="D40" s="7">
        <v>1524.56</v>
      </c>
      <c r="E40" s="24"/>
      <c r="F40" s="3"/>
    </row>
    <row r="41" spans="1:7" ht="15">
      <c r="A41" s="3"/>
      <c r="B41" s="3"/>
      <c r="C41" s="11" t="s">
        <v>97</v>
      </c>
      <c r="D41" s="7">
        <v>186</v>
      </c>
      <c r="E41" s="24"/>
      <c r="F41" s="3"/>
    </row>
    <row r="42" spans="1:7" ht="15">
      <c r="A42" s="3"/>
      <c r="B42" s="3"/>
      <c r="C42" s="11" t="s">
        <v>98</v>
      </c>
      <c r="D42" s="7">
        <v>3400</v>
      </c>
      <c r="E42" s="38"/>
      <c r="F42" s="3"/>
    </row>
    <row r="43" spans="1:7" ht="15">
      <c r="A43" s="3"/>
      <c r="B43" s="3"/>
      <c r="C43" s="11" t="s">
        <v>99</v>
      </c>
      <c r="D43" s="7">
        <v>3359.04</v>
      </c>
      <c r="E43" s="24"/>
      <c r="F43" s="3"/>
    </row>
    <row r="44" spans="1:7" ht="15">
      <c r="A44" s="3"/>
      <c r="B44" s="3"/>
      <c r="C44" s="11" t="s">
        <v>101</v>
      </c>
      <c r="D44" s="7">
        <v>2400</v>
      </c>
      <c r="E44" s="24"/>
      <c r="F44" s="3"/>
    </row>
    <row r="45" spans="1:7" ht="15">
      <c r="A45" s="3"/>
      <c r="B45" s="3"/>
      <c r="C45" s="11" t="s">
        <v>100</v>
      </c>
      <c r="D45" s="7">
        <v>23.49</v>
      </c>
      <c r="E45" s="24"/>
      <c r="F45" s="3"/>
    </row>
    <row r="46" spans="1:7" ht="15">
      <c r="A46" s="3"/>
      <c r="B46" s="3"/>
      <c r="C46" s="11"/>
      <c r="D46" s="66" t="s">
        <v>179</v>
      </c>
      <c r="E46" s="25">
        <f>SUM(D39:D45)</f>
        <v>12130.22</v>
      </c>
      <c r="F46" s="3"/>
    </row>
    <row r="47" spans="1:7" s="65" customFormat="1" ht="15">
      <c r="A47" s="3"/>
      <c r="B47" s="3"/>
      <c r="C47" s="11"/>
      <c r="D47" s="66"/>
      <c r="E47" s="25"/>
      <c r="F47" s="3"/>
    </row>
    <row r="48" spans="1:7" ht="15">
      <c r="A48" s="3"/>
      <c r="B48" s="3"/>
      <c r="C48" s="23" t="s">
        <v>62</v>
      </c>
      <c r="D48" s="6"/>
      <c r="E48" s="25">
        <v>200</v>
      </c>
      <c r="F48" s="3"/>
    </row>
    <row r="49" spans="1:6" ht="15">
      <c r="A49" s="3"/>
      <c r="B49" s="3"/>
      <c r="C49" s="11"/>
      <c r="D49" s="6"/>
      <c r="E49" s="25"/>
      <c r="F49" s="3"/>
    </row>
    <row r="50" spans="1:6" ht="15">
      <c r="A50" s="3"/>
      <c r="B50" s="3"/>
      <c r="C50" s="23" t="s">
        <v>149</v>
      </c>
      <c r="D50" s="6"/>
      <c r="E50" s="25">
        <f>Meetings!E14</f>
        <v>482.47</v>
      </c>
      <c r="F50" s="3"/>
    </row>
    <row r="51" spans="1:6" ht="15">
      <c r="A51" s="3"/>
      <c r="B51" s="3"/>
      <c r="C51" s="23"/>
      <c r="D51" s="6"/>
      <c r="E51" s="25"/>
      <c r="F51" s="3"/>
    </row>
    <row r="52" spans="1:6" s="65" customFormat="1" ht="15">
      <c r="A52" s="3"/>
      <c r="B52" s="3"/>
      <c r="C52" s="23" t="s">
        <v>199</v>
      </c>
      <c r="D52" s="6"/>
      <c r="E52" s="25">
        <v>270.14999999999998</v>
      </c>
      <c r="F52" s="3"/>
    </row>
    <row r="53" spans="1:6" s="65" customFormat="1" ht="15">
      <c r="A53" s="3"/>
      <c r="B53" s="3"/>
      <c r="C53" s="23"/>
      <c r="D53" s="6"/>
      <c r="E53" s="25"/>
      <c r="F53" s="3"/>
    </row>
    <row r="54" spans="1:6" ht="15">
      <c r="A54" s="3"/>
      <c r="B54" s="3"/>
      <c r="C54" s="23" t="s">
        <v>75</v>
      </c>
      <c r="D54" s="6"/>
      <c r="E54" s="25">
        <v>200</v>
      </c>
      <c r="F54" s="3"/>
    </row>
    <row r="55" spans="1:6" s="65" customFormat="1" ht="15">
      <c r="A55" s="3"/>
      <c r="B55" s="3"/>
      <c r="C55" s="23"/>
      <c r="D55" s="6"/>
      <c r="E55" s="25"/>
      <c r="F55" s="3"/>
    </row>
    <row r="56" spans="1:6" s="65" customFormat="1" ht="15">
      <c r="A56" s="3"/>
      <c r="B56" s="3"/>
      <c r="C56" s="23" t="s">
        <v>343</v>
      </c>
      <c r="D56" s="6"/>
      <c r="E56" s="25">
        <v>0</v>
      </c>
      <c r="F56" s="3"/>
    </row>
    <row r="57" spans="1:6" ht="15">
      <c r="A57" s="3"/>
      <c r="B57" s="3"/>
      <c r="C57" s="11"/>
      <c r="D57" s="6"/>
      <c r="E57" s="25"/>
      <c r="F57" s="3"/>
    </row>
    <row r="58" spans="1:6" ht="15">
      <c r="A58" s="3"/>
      <c r="B58" s="3"/>
      <c r="C58" s="23" t="s">
        <v>55</v>
      </c>
      <c r="D58" s="3"/>
      <c r="E58" s="18">
        <v>0</v>
      </c>
      <c r="F58" s="3"/>
    </row>
    <row r="59" spans="1:6" ht="15">
      <c r="A59" s="3"/>
      <c r="B59" s="3"/>
      <c r="C59" s="23"/>
      <c r="D59" s="3"/>
      <c r="E59" s="18"/>
      <c r="F59" s="3"/>
    </row>
    <row r="60" spans="1:6" ht="15">
      <c r="A60" s="3"/>
      <c r="B60" s="3"/>
      <c r="C60" s="23" t="s">
        <v>151</v>
      </c>
      <c r="D60" s="3"/>
      <c r="E60" s="18">
        <v>848.52</v>
      </c>
      <c r="F60" s="3"/>
    </row>
    <row r="61" spans="1:6" s="65" customFormat="1">
      <c r="A61" s="3"/>
      <c r="B61" s="3"/>
      <c r="C61" s="17"/>
      <c r="D61" s="3"/>
      <c r="E61" s="26"/>
      <c r="F61" s="3"/>
    </row>
    <row r="62" spans="1:6" s="65" customFormat="1" ht="15">
      <c r="A62" s="3"/>
      <c r="B62" s="3"/>
      <c r="C62" s="23" t="s">
        <v>233</v>
      </c>
      <c r="D62" s="6"/>
      <c r="E62" s="25">
        <f>Cash!K16</f>
        <v>0</v>
      </c>
      <c r="F62" s="3"/>
    </row>
    <row r="63" spans="1:6">
      <c r="A63" s="3"/>
      <c r="B63" s="3"/>
      <c r="C63" s="17"/>
      <c r="D63" s="3"/>
      <c r="E63" s="26"/>
      <c r="F63" s="3"/>
    </row>
    <row r="64" spans="1:6" ht="15">
      <c r="A64" s="3"/>
      <c r="B64" s="3"/>
      <c r="C64" s="23" t="s">
        <v>53</v>
      </c>
      <c r="D64" s="6"/>
      <c r="E64" s="25">
        <v>0</v>
      </c>
      <c r="F64" s="3"/>
    </row>
    <row r="65" spans="1:6" ht="15" thickBot="1">
      <c r="A65" s="3"/>
      <c r="B65" s="3"/>
      <c r="C65" s="27"/>
      <c r="D65" s="21"/>
      <c r="E65" s="28"/>
      <c r="F65" s="3"/>
    </row>
    <row r="66" spans="1:6" ht="15" thickTop="1"/>
  </sheetData>
  <mergeCells count="1">
    <mergeCell ref="C3:E3"/>
  </mergeCells>
  <phoneticPr fontId="0" type="noConversion"/>
  <pageMargins left="0.7" right="0.7" top="0.75" bottom="0.75" header="0.3" footer="0.3"/>
  <pageSetup orientation="portrait" horizontalDpi="4294967293"/>
  <rowBreaks count="1" manualBreakCount="1">
    <brk id="3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(BUDGET)</vt:lpstr>
      <vt:lpstr>Cash</vt:lpstr>
      <vt:lpstr>9</vt:lpstr>
      <vt:lpstr>4</vt:lpstr>
      <vt:lpstr>Sponsor Categorized</vt:lpstr>
      <vt:lpstr>Meetings</vt:lpstr>
      <vt:lpstr>Members 12-13</vt:lpstr>
      <vt:lpstr>BERF</vt:lpstr>
      <vt:lpstr>Summary</vt:lpstr>
      <vt:lpstr>Sheet1</vt:lpstr>
    </vt:vector>
  </TitlesOfParts>
  <Company>University of Miami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Maria Arguelles</cp:lastModifiedBy>
  <cp:lastPrinted>2013-04-04T03:46:51Z</cp:lastPrinted>
  <dcterms:created xsi:type="dcterms:W3CDTF">2008-09-15T00:11:54Z</dcterms:created>
  <dcterms:modified xsi:type="dcterms:W3CDTF">2015-02-02T04:29:17Z</dcterms:modified>
</cp:coreProperties>
</file>