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90" windowWidth="19800" windowHeight="7095"/>
  </bookViews>
  <sheets>
    <sheet name="Input" sheetId="2" r:id="rId1"/>
    <sheet name="Sheet1" sheetId="1" r:id="rId2"/>
    <sheet name="Test" sheetId="3" r:id="rId3"/>
  </sheets>
  <calcPr calcId="144525"/>
</workbook>
</file>

<file path=xl/calcChain.xml><?xml version="1.0" encoding="utf-8"?>
<calcChain xmlns="http://schemas.openxmlformats.org/spreadsheetml/2006/main">
  <c r="D33" i="1" l="1"/>
  <c r="E33" i="1"/>
  <c r="F33" i="1"/>
  <c r="E32" i="1"/>
  <c r="C74" i="1" s="1"/>
  <c r="F32" i="1"/>
  <c r="D32" i="1"/>
  <c r="U2" i="3" l="1"/>
  <c r="S2" i="3"/>
  <c r="Q2" i="3"/>
  <c r="O2" i="3"/>
  <c r="M2" i="3"/>
  <c r="K2" i="3"/>
  <c r="J2" i="3"/>
  <c r="I2" i="3"/>
  <c r="H2" i="3"/>
  <c r="G2" i="3"/>
  <c r="F2" i="3"/>
  <c r="E2" i="3"/>
  <c r="D2" i="3"/>
  <c r="C2" i="3"/>
  <c r="F110" i="1" l="1"/>
  <c r="B110" i="1"/>
  <c r="F109" i="1"/>
  <c r="B109" i="1"/>
  <c r="F108" i="1"/>
  <c r="B108" i="1"/>
  <c r="M104" i="1"/>
  <c r="I104" i="1"/>
  <c r="M103" i="1"/>
  <c r="I103" i="1"/>
  <c r="M102" i="1"/>
  <c r="I102" i="1"/>
  <c r="E31" i="1"/>
  <c r="F102" i="1" s="1"/>
  <c r="F44" i="2" s="1"/>
  <c r="D31" i="1"/>
  <c r="E28" i="1"/>
  <c r="E27" i="1"/>
  <c r="C66" i="1" s="1"/>
  <c r="D27" i="1"/>
  <c r="E26" i="1"/>
  <c r="D25" i="1"/>
  <c r="D28" i="1" s="1"/>
  <c r="C21" i="1"/>
  <c r="C20" i="1"/>
  <c r="C19" i="1"/>
  <c r="C16" i="1"/>
  <c r="C15" i="1"/>
  <c r="C13" i="1"/>
  <c r="C12" i="1"/>
  <c r="C10" i="1"/>
  <c r="C8" i="1"/>
  <c r="C6" i="1"/>
  <c r="C36" i="1" s="1"/>
  <c r="C5" i="1"/>
  <c r="B52" i="2"/>
  <c r="B51" i="2"/>
  <c r="B50" i="2"/>
  <c r="G49" i="2"/>
  <c r="F49" i="2"/>
  <c r="E49" i="2"/>
  <c r="D49" i="2"/>
  <c r="C49" i="2"/>
  <c r="B48" i="2"/>
  <c r="E46" i="2"/>
  <c r="D46" i="2"/>
  <c r="B46" i="2"/>
  <c r="E45" i="2"/>
  <c r="D45" i="2"/>
  <c r="B45" i="2"/>
  <c r="E44" i="2"/>
  <c r="D44" i="2"/>
  <c r="B44" i="2"/>
  <c r="N43" i="2"/>
  <c r="M43" i="2"/>
  <c r="L43" i="2"/>
  <c r="K43" i="2"/>
  <c r="J43" i="2"/>
  <c r="I43" i="2"/>
  <c r="H43" i="2"/>
  <c r="G43" i="2"/>
  <c r="F43" i="2"/>
  <c r="E43" i="2"/>
  <c r="C43" i="2"/>
  <c r="C42" i="2"/>
  <c r="E41" i="2"/>
  <c r="D41" i="2"/>
  <c r="B41" i="2"/>
  <c r="F39" i="2"/>
  <c r="B39" i="2"/>
  <c r="G38" i="2"/>
  <c r="F38" i="2"/>
  <c r="B38" i="2"/>
  <c r="D33" i="2"/>
  <c r="E30" i="1"/>
  <c r="D26" i="2"/>
  <c r="D30" i="2" s="1"/>
  <c r="C26" i="2"/>
  <c r="C30" i="2" s="1"/>
  <c r="D54" i="1" l="1"/>
  <c r="C38" i="1"/>
  <c r="G85" i="1" s="1"/>
  <c r="C25" i="1"/>
  <c r="C33" i="2"/>
  <c r="D55" i="1"/>
  <c r="D28" i="2"/>
  <c r="D29" i="2"/>
  <c r="C108" i="1"/>
  <c r="L102" i="1"/>
  <c r="L44" i="2" s="1"/>
  <c r="G102" i="1"/>
  <c r="G44" i="2" s="1"/>
  <c r="D53" i="1"/>
  <c r="C28" i="2"/>
  <c r="C29" i="2"/>
  <c r="F104" i="1"/>
  <c r="F103" i="1"/>
  <c r="G99" i="1"/>
  <c r="H99" i="1" s="1"/>
  <c r="I99" i="1" s="1"/>
  <c r="G98" i="1"/>
  <c r="H98" i="1" s="1"/>
  <c r="I98" i="1" s="1"/>
  <c r="G97" i="1"/>
  <c r="H97" i="1" s="1"/>
  <c r="I97" i="1" s="1"/>
  <c r="G96" i="1"/>
  <c r="H96" i="1" s="1"/>
  <c r="I96" i="1" s="1"/>
  <c r="D56" i="1"/>
  <c r="C99" i="1"/>
  <c r="C98" i="1"/>
  <c r="C97" i="1"/>
  <c r="C96" i="1"/>
  <c r="C37" i="1"/>
  <c r="C73" i="1" s="1"/>
  <c r="J102" i="1"/>
  <c r="J44" i="2" s="1"/>
  <c r="J103" i="1"/>
  <c r="J45" i="2" s="1"/>
  <c r="J104" i="1"/>
  <c r="J46" i="2" s="1"/>
  <c r="D26" i="1"/>
  <c r="C55" i="1"/>
  <c r="G63" i="1"/>
  <c r="G39" i="2" s="1"/>
  <c r="C85" i="1"/>
  <c r="H86" i="1" l="1"/>
  <c r="G86" i="1" s="1"/>
  <c r="G90" i="1" s="1"/>
  <c r="D86" i="1"/>
  <c r="D99" i="1"/>
  <c r="C26" i="1"/>
  <c r="C53" i="1"/>
  <c r="E53" i="1" s="1"/>
  <c r="D46" i="1"/>
  <c r="C54" i="1"/>
  <c r="E54" i="1" s="1"/>
  <c r="D47" i="1"/>
  <c r="C43" i="1"/>
  <c r="E98" i="1"/>
  <c r="C42" i="1"/>
  <c r="C28" i="1"/>
  <c r="C86" i="1"/>
  <c r="C90" i="1" s="1"/>
  <c r="C27" i="1"/>
  <c r="G89" i="1"/>
  <c r="C56" i="1"/>
  <c r="E56" i="1" s="1"/>
  <c r="C41" i="1"/>
  <c r="C46" i="1" s="1"/>
  <c r="K102" i="1"/>
  <c r="K44" i="2" s="1"/>
  <c r="E55" i="1"/>
  <c r="C109" i="1"/>
  <c r="L103" i="1"/>
  <c r="L45" i="2" s="1"/>
  <c r="G103" i="1"/>
  <c r="F45" i="2"/>
  <c r="H90" i="1"/>
  <c r="E99" i="1"/>
  <c r="C104" i="1" s="1"/>
  <c r="D98" i="1"/>
  <c r="C110" i="1"/>
  <c r="L104" i="1"/>
  <c r="L46" i="2" s="1"/>
  <c r="F46" i="2"/>
  <c r="G104" i="1"/>
  <c r="C50" i="2"/>
  <c r="D108" i="1"/>
  <c r="H89" i="1" l="1"/>
  <c r="I89" i="1" s="1"/>
  <c r="I91" i="1" s="1"/>
  <c r="I90" i="1"/>
  <c r="E46" i="1"/>
  <c r="D89" i="1"/>
  <c r="C89" i="1"/>
  <c r="E89" i="1" s="1"/>
  <c r="E91" i="1" s="1"/>
  <c r="D90" i="1"/>
  <c r="E90" i="1" s="1"/>
  <c r="C58" i="1"/>
  <c r="C47" i="1"/>
  <c r="E47" i="1" s="1"/>
  <c r="E108" i="1"/>
  <c r="E50" i="2" s="1"/>
  <c r="N102" i="1"/>
  <c r="N44" i="2" s="1"/>
  <c r="L2" i="3" s="1"/>
  <c r="E58" i="1"/>
  <c r="H104" i="1"/>
  <c r="H46" i="2" s="1"/>
  <c r="C46" i="2"/>
  <c r="G46" i="2"/>
  <c r="K104" i="1"/>
  <c r="D50" i="2"/>
  <c r="C52" i="2"/>
  <c r="D110" i="1"/>
  <c r="G45" i="2"/>
  <c r="K103" i="1"/>
  <c r="D109" i="1"/>
  <c r="C51" i="2"/>
  <c r="E49" i="1" l="1"/>
  <c r="E63" i="1" s="1"/>
  <c r="E39" i="2" s="1"/>
  <c r="C49" i="1"/>
  <c r="C71" i="1" s="1"/>
  <c r="E62" i="1"/>
  <c r="E38" i="2" s="1"/>
  <c r="G108" i="1"/>
  <c r="G50" i="2" s="1"/>
  <c r="R2" i="3" s="1"/>
  <c r="C102" i="1"/>
  <c r="H102" i="1" s="1"/>
  <c r="H44" i="2" s="1"/>
  <c r="E110" i="1"/>
  <c r="E52" i="2" s="1"/>
  <c r="K46" i="2"/>
  <c r="N104" i="1"/>
  <c r="N46" i="2" s="1"/>
  <c r="P2" i="3" s="1"/>
  <c r="E109" i="1"/>
  <c r="E51" i="2" s="1"/>
  <c r="K45" i="2"/>
  <c r="N103" i="1"/>
  <c r="N45" i="2" s="1"/>
  <c r="N2" i="3" s="1"/>
  <c r="D52" i="2"/>
  <c r="D51" i="2"/>
  <c r="C44" i="2" l="1"/>
  <c r="C67" i="1"/>
  <c r="C69" i="1" s="1"/>
  <c r="G109" i="1"/>
  <c r="G51" i="2" s="1"/>
  <c r="T2" i="3" s="1"/>
  <c r="G110" i="1"/>
  <c r="G52" i="2" s="1"/>
  <c r="V2" i="3" s="1"/>
  <c r="C68" i="1" l="1"/>
  <c r="E94" i="1" l="1"/>
  <c r="D97" i="1" s="1"/>
  <c r="C75" i="1"/>
  <c r="E97" i="1"/>
  <c r="C103" i="1" s="1"/>
  <c r="D96" i="1" l="1"/>
  <c r="E96" i="1"/>
  <c r="C76" i="1"/>
  <c r="C78" i="1" s="1"/>
  <c r="C41" i="2" s="1"/>
  <c r="H103" i="1"/>
  <c r="H45" i="2" s="1"/>
  <c r="C45" i="2"/>
</calcChain>
</file>

<file path=xl/sharedStrings.xml><?xml version="1.0" encoding="utf-8"?>
<sst xmlns="http://schemas.openxmlformats.org/spreadsheetml/2006/main" count="316" uniqueCount="156">
  <si>
    <t>Back fill data</t>
  </si>
  <si>
    <t/>
  </si>
  <si>
    <t>unit weight of soil</t>
  </si>
  <si>
    <t>pcf</t>
  </si>
  <si>
    <t>internal friction</t>
  </si>
  <si>
    <t>deg</t>
  </si>
  <si>
    <t>Input</t>
  </si>
  <si>
    <t>Trial input</t>
  </si>
  <si>
    <t>Water table</t>
  </si>
  <si>
    <t>ft</t>
  </si>
  <si>
    <t>To be checked</t>
  </si>
  <si>
    <t>Result</t>
  </si>
  <si>
    <t>Surcharge</t>
  </si>
  <si>
    <t>psf</t>
  </si>
  <si>
    <t>Height difference</t>
  </si>
  <si>
    <t>H</t>
  </si>
  <si>
    <t>Height embedded</t>
  </si>
  <si>
    <t>D</t>
  </si>
  <si>
    <t>Friction Conc-Soil</t>
  </si>
  <si>
    <t>Friction Soil-Soil</t>
  </si>
  <si>
    <t>Design Data</t>
  </si>
  <si>
    <t>f'c</t>
  </si>
  <si>
    <t>psi</t>
  </si>
  <si>
    <t>fy</t>
  </si>
  <si>
    <t>Unit weight of Conc</t>
  </si>
  <si>
    <t>Wall geometry</t>
  </si>
  <si>
    <t>Height of wall</t>
  </si>
  <si>
    <t>Base thickness</t>
  </si>
  <si>
    <t>Tbase</t>
  </si>
  <si>
    <t>Base length</t>
  </si>
  <si>
    <t>Lbase</t>
  </si>
  <si>
    <t>Base projection</t>
  </si>
  <si>
    <t>Ltoe</t>
  </si>
  <si>
    <t>Stem thickness</t>
  </si>
  <si>
    <t>Top</t>
  </si>
  <si>
    <t>in</t>
  </si>
  <si>
    <t>Ttop</t>
  </si>
  <si>
    <t>Bottom</t>
  </si>
  <si>
    <t>Tbot</t>
  </si>
  <si>
    <t>A</t>
  </si>
  <si>
    <t>B</t>
  </si>
  <si>
    <t>C</t>
  </si>
  <si>
    <t>a</t>
  </si>
  <si>
    <t>b</t>
  </si>
  <si>
    <t>c</t>
  </si>
  <si>
    <t>RCC. Cantilever Retaining Wall Design</t>
  </si>
  <si>
    <t>unit weight</t>
  </si>
  <si>
    <t>Stability Check</t>
  </si>
  <si>
    <t>Active Coeff.</t>
  </si>
  <si>
    <t>Passive Coeff</t>
  </si>
  <si>
    <t>hs due to surcharge</t>
  </si>
  <si>
    <t>Earth pressure</t>
  </si>
  <si>
    <t>Ptop</t>
  </si>
  <si>
    <t>psf/ft</t>
  </si>
  <si>
    <t>Pbot</t>
  </si>
  <si>
    <t>Pbasetop</t>
  </si>
  <si>
    <t>Lateral Force</t>
  </si>
  <si>
    <t>Ha</t>
  </si>
  <si>
    <t>Arm</t>
  </si>
  <si>
    <t>Overturning</t>
  </si>
  <si>
    <t>H1</t>
  </si>
  <si>
    <t>H2</t>
  </si>
  <si>
    <t>Sum</t>
  </si>
  <si>
    <t>Own-weight</t>
  </si>
  <si>
    <t>w</t>
  </si>
  <si>
    <t>Moment</t>
  </si>
  <si>
    <t>Stem1</t>
  </si>
  <si>
    <t>Stem2</t>
  </si>
  <si>
    <t>Base</t>
  </si>
  <si>
    <t>Earth</t>
  </si>
  <si>
    <t>Check</t>
  </si>
  <si>
    <t>Safety against overturning</t>
  </si>
  <si>
    <t>&gt;</t>
  </si>
  <si>
    <t>Base eccen.</t>
  </si>
  <si>
    <t>Base pressure</t>
  </si>
  <si>
    <t>I</t>
  </si>
  <si>
    <t>ft^4</t>
  </si>
  <si>
    <t>e</t>
  </si>
  <si>
    <t>Q1</t>
  </si>
  <si>
    <t>&lt;</t>
  </si>
  <si>
    <t>qall</t>
  </si>
  <si>
    <t>Q2</t>
  </si>
  <si>
    <t>Sliding force</t>
  </si>
  <si>
    <t>lb</t>
  </si>
  <si>
    <t>Resisting force</t>
  </si>
  <si>
    <t>SF against sliding</t>
  </si>
  <si>
    <t>Reinforcement design</t>
  </si>
  <si>
    <t>Load factor</t>
  </si>
  <si>
    <t>P1</t>
  </si>
  <si>
    <t>P2</t>
  </si>
  <si>
    <t>Lateral force</t>
  </si>
  <si>
    <r>
      <rPr>
        <b/>
        <sz val="11"/>
        <color rgb="FF000000"/>
        <rFont val="宋体"/>
      </rPr>
      <t>Ha</t>
    </r>
  </si>
  <si>
    <r>
      <rPr>
        <b/>
        <sz val="11"/>
        <color rgb="FF000000"/>
        <rFont val="宋体"/>
      </rPr>
      <t>Arm (y)</t>
    </r>
  </si>
  <si>
    <r>
      <rPr>
        <b/>
        <sz val="11"/>
        <color rgb="FF000000"/>
        <rFont val="宋体"/>
      </rPr>
      <t>Mu</t>
    </r>
  </si>
  <si>
    <t>Mu</t>
  </si>
  <si>
    <t>Shear check</t>
  </si>
  <si>
    <t>Slope of base pressure</t>
  </si>
  <si>
    <t>psi/ft</t>
  </si>
  <si>
    <t>L</t>
  </si>
  <si>
    <t>Vu</t>
  </si>
  <si>
    <t>h</t>
  </si>
  <si>
    <t>d</t>
  </si>
  <si>
    <t>fVc</t>
  </si>
  <si>
    <t>L1</t>
  </si>
  <si>
    <t>L2</t>
  </si>
  <si>
    <t>L4</t>
  </si>
  <si>
    <t>L5</t>
  </si>
  <si>
    <t>Ru</t>
  </si>
  <si>
    <t>ro</t>
  </si>
  <si>
    <t>Ru(psi)</t>
  </si>
  <si>
    <t>As(sqin)</t>
  </si>
  <si>
    <t>Asmin</t>
  </si>
  <si>
    <t>db(in)</t>
  </si>
  <si>
    <t>spc(in)</t>
  </si>
  <si>
    <t>Stem</t>
  </si>
  <si>
    <t>lb-ft</t>
  </si>
  <si>
    <t>Toe</t>
  </si>
  <si>
    <t>Heel</t>
  </si>
  <si>
    <t>Distribution bars</t>
  </si>
  <si>
    <t>0.5As</t>
  </si>
  <si>
    <t>db</t>
  </si>
  <si>
    <t>Cantilever R.C.C. Retaining Wall Design</t>
  </si>
  <si>
    <t>Reference: STRUCTURAL CONCRETE, Theiry and Design 6th Edition by M.Nad7m Hassoun, Akthem Al-Manaseer</t>
  </si>
  <si>
    <t>Surcharge psf</t>
  </si>
  <si>
    <t>Tbase ft</t>
  </si>
  <si>
    <t>Lbase ft</t>
  </si>
  <si>
    <t>Ltoe ft</t>
  </si>
  <si>
    <t>Ttop in</t>
  </si>
  <si>
    <t>Tbot in</t>
  </si>
  <si>
    <t>db in</t>
  </si>
  <si>
    <t>A in</t>
  </si>
  <si>
    <t>B in</t>
  </si>
  <si>
    <t>C in</t>
  </si>
  <si>
    <t>a in</t>
  </si>
  <si>
    <t>b in</t>
  </si>
  <si>
    <t>c in</t>
  </si>
  <si>
    <t>H           ft</t>
  </si>
  <si>
    <t>D       ft</t>
  </si>
  <si>
    <t>by Mr. Win Aung Cho, P.E., C Eng, S.E., M.ASCE / 2018</t>
  </si>
  <si>
    <t>Reference: STRUCTURAL CONCRETE, Theory and Design 6th Edition by M.Nadim Hassoun, Akthem Al-Manaseer</t>
  </si>
  <si>
    <t>Base Slab</t>
  </si>
  <si>
    <t>Key Height</t>
  </si>
  <si>
    <t>Key</t>
  </si>
  <si>
    <t>Dk</t>
  </si>
  <si>
    <t>Tk</t>
  </si>
  <si>
    <t>Key Thickness</t>
  </si>
  <si>
    <t>Passive force</t>
  </si>
  <si>
    <t>Friction of front half</t>
  </si>
  <si>
    <t>Friction of rear half</t>
  </si>
  <si>
    <t>To be looked and corrected</t>
  </si>
  <si>
    <t>Version:1.1</t>
  </si>
  <si>
    <t>Version 1.1</t>
  </si>
  <si>
    <t>Key is consider to resist the sliding action, active earth pressure act to the base slab</t>
  </si>
  <si>
    <t>Reinforcement</t>
  </si>
  <si>
    <t>Safety</t>
  </si>
  <si>
    <t>Key locate at the center of the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</si>
</sst>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000"/>
  </numFmts>
  <fonts count="10">
    <font>
      <sz val="11"/>
      <color theme="1"/>
      <name val="Calibri"/>
      <family val="2"/>
      <scheme val="minor"/>
    </font>
    <font>
      <b/>
      <sz val="11"/>
      <color rgb="FF000000"/>
      <name val="宋体"/>
    </font>
    <font>
      <b/>
      <sz val="11"/>
      <color rgb="FF000000"/>
      <name val="宋体"/>
    </font>
    <font>
      <b/>
      <sz val="11"/>
      <color rgb="FF000000"/>
      <name val="宋体"/>
    </font>
    <font>
      <b/>
      <sz val="11"/>
      <color rgb="FF000000"/>
      <name val="宋体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A01"/>
        <bgColor rgb="FFFFEA01"/>
      </patternFill>
    </fill>
    <fill>
      <patternFill patternType="solid">
        <fgColor rgb="FF81FF81"/>
        <bgColor rgb="FF81FF81"/>
      </patternFill>
    </fill>
    <fill>
      <patternFill patternType="solid">
        <fgColor rgb="FFFFBFBF"/>
        <bgColor rgb="FFFFBFBF"/>
      </patternFill>
    </fill>
    <fill>
      <patternFill patternType="solid">
        <fgColor rgb="FF81FF81"/>
        <bgColor rgb="FF81FF81"/>
      </patternFill>
    </fill>
    <fill>
      <patternFill patternType="solid">
        <fgColor rgb="FFFFBFBF"/>
        <bgColor rgb="FFFFBFBF"/>
      </patternFill>
    </fill>
    <fill>
      <patternFill patternType="solid">
        <fgColor rgb="FF81FF81"/>
        <bgColor rgb="FF81FF81"/>
      </patternFill>
    </fill>
    <fill>
      <patternFill patternType="solid">
        <fgColor rgb="FFFFBFBF"/>
        <bgColor rgb="FFFFBFBF"/>
      </patternFill>
    </fill>
    <fill>
      <patternFill patternType="solid">
        <fgColor rgb="FFFFF480"/>
        <bgColor rgb="FFFFF480"/>
      </patternFill>
    </fill>
    <fill>
      <patternFill patternType="solid">
        <fgColor rgb="FFBFFFC0"/>
        <bgColor rgb="FFBFFFC0"/>
      </patternFill>
    </fill>
    <fill>
      <patternFill patternType="solid">
        <fgColor rgb="FF81FF81"/>
        <bgColor rgb="FF81FF8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81FF81"/>
      </patternFill>
    </fill>
  </fills>
  <borders count="2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10" borderId="7" xfId="0" applyFill="1" applyBorder="1" applyProtection="1">
      <protection locked="0"/>
    </xf>
    <xf numFmtId="0" fontId="6" fillId="0" borderId="0" xfId="0" applyFont="1" applyProtection="1"/>
    <xf numFmtId="0" fontId="0" fillId="0" borderId="134" xfId="0" applyBorder="1" applyProtection="1"/>
    <xf numFmtId="0" fontId="0" fillId="0" borderId="0" xfId="0" applyProtection="1"/>
    <xf numFmtId="4" fontId="0" fillId="0" borderId="0" xfId="0" applyNumberFormat="1" applyProtection="1"/>
    <xf numFmtId="0" fontId="8" fillId="0" borderId="0" xfId="0" applyFont="1" applyProtection="1"/>
    <xf numFmtId="0" fontId="0" fillId="0" borderId="195" xfId="0" applyBorder="1" applyProtection="1"/>
    <xf numFmtId="0" fontId="0" fillId="0" borderId="168" xfId="0" applyBorder="1" applyProtection="1"/>
    <xf numFmtId="0" fontId="0" fillId="5" borderId="0" xfId="0" applyFill="1" applyProtection="1"/>
    <xf numFmtId="0" fontId="0" fillId="2" borderId="0" xfId="0" applyFill="1" applyProtection="1"/>
    <xf numFmtId="0" fontId="0" fillId="0" borderId="169" xfId="0" applyBorder="1" applyProtection="1"/>
    <xf numFmtId="0" fontId="0" fillId="2" borderId="1" xfId="0" applyFill="1" applyBorder="1" applyProtection="1"/>
    <xf numFmtId="0" fontId="0" fillId="0" borderId="2" xfId="0" applyBorder="1" applyProtection="1"/>
    <xf numFmtId="0" fontId="0" fillId="0" borderId="200" xfId="0" applyBorder="1" applyProtection="1"/>
    <xf numFmtId="0" fontId="0" fillId="0" borderId="170" xfId="0" applyBorder="1" applyProtection="1"/>
    <xf numFmtId="0" fontId="0" fillId="0" borderId="3" xfId="0" applyBorder="1" applyProtection="1"/>
    <xf numFmtId="0" fontId="0" fillId="0" borderId="171" xfId="0" applyBorder="1" applyProtection="1"/>
    <xf numFmtId="0" fontId="0" fillId="0" borderId="4" xfId="0" applyBorder="1" applyProtection="1"/>
    <xf numFmtId="0" fontId="0" fillId="0" borderId="172" xfId="0" applyBorder="1" applyProtection="1"/>
    <xf numFmtId="0" fontId="0" fillId="0" borderId="5" xfId="0" applyBorder="1" applyProtection="1"/>
    <xf numFmtId="0" fontId="0" fillId="0" borderId="173" xfId="0" applyBorder="1" applyProtection="1"/>
    <xf numFmtId="0" fontId="0" fillId="0" borderId="214" xfId="0" applyBorder="1" applyProtection="1"/>
    <xf numFmtId="4" fontId="1" fillId="0" borderId="213" xfId="0" applyNumberFormat="1" applyFont="1" applyBorder="1" applyAlignment="1" applyProtection="1">
      <alignment horizontal="center"/>
    </xf>
    <xf numFmtId="0" fontId="0" fillId="0" borderId="174" xfId="0" applyBorder="1" applyProtection="1"/>
    <xf numFmtId="0" fontId="0" fillId="0" borderId="6" xfId="0" applyBorder="1" applyProtection="1"/>
    <xf numFmtId="4" fontId="1" fillId="0" borderId="215" xfId="0" applyNumberFormat="1" applyFont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0" fontId="0" fillId="0" borderId="175" xfId="0" applyBorder="1" applyProtection="1"/>
    <xf numFmtId="0" fontId="0" fillId="0" borderId="176" xfId="0" applyBorder="1" applyProtection="1"/>
    <xf numFmtId="4" fontId="0" fillId="0" borderId="216" xfId="0" applyNumberFormat="1" applyBorder="1" applyProtection="1"/>
    <xf numFmtId="0" fontId="0" fillId="0" borderId="177" xfId="0" applyBorder="1" applyProtection="1"/>
    <xf numFmtId="0" fontId="0" fillId="0" borderId="178" xfId="0" applyBorder="1" applyProtection="1"/>
    <xf numFmtId="0" fontId="0" fillId="0" borderId="8" xfId="0" applyBorder="1" applyProtection="1"/>
    <xf numFmtId="0" fontId="0" fillId="0" borderId="179" xfId="0" applyBorder="1" applyProtection="1"/>
    <xf numFmtId="0" fontId="0" fillId="0" borderId="9" xfId="0" applyBorder="1" applyProtection="1"/>
    <xf numFmtId="0" fontId="0" fillId="0" borderId="180" xfId="0" applyBorder="1" applyProtection="1"/>
    <xf numFmtId="0" fontId="0" fillId="0" borderId="181" xfId="0" applyBorder="1" applyProtection="1"/>
    <xf numFmtId="0" fontId="0" fillId="0" borderId="182" xfId="0" applyBorder="1" applyProtection="1"/>
    <xf numFmtId="2" fontId="0" fillId="0" borderId="10" xfId="0" applyNumberFormat="1" applyBorder="1" applyProtection="1"/>
    <xf numFmtId="0" fontId="0" fillId="0" borderId="11" xfId="0" applyBorder="1" applyProtection="1"/>
    <xf numFmtId="0" fontId="0" fillId="0" borderId="229" xfId="0" applyBorder="1" applyProtection="1"/>
    <xf numFmtId="0" fontId="0" fillId="0" borderId="183" xfId="0" applyBorder="1" applyProtection="1"/>
    <xf numFmtId="2" fontId="0" fillId="0" borderId="12" xfId="0" applyNumberFormat="1" applyBorder="1" applyProtection="1"/>
    <xf numFmtId="0" fontId="0" fillId="0" borderId="13" xfId="0" applyBorder="1" applyProtection="1"/>
    <xf numFmtId="4" fontId="0" fillId="3" borderId="217" xfId="0" applyNumberFormat="1" applyFill="1" applyBorder="1" applyProtection="1"/>
    <xf numFmtId="0" fontId="3" fillId="0" borderId="184" xfId="0" applyFont="1" applyBorder="1" applyAlignment="1" applyProtection="1">
      <alignment horizontal="center"/>
    </xf>
    <xf numFmtId="0" fontId="0" fillId="0" borderId="218" xfId="0" applyBorder="1" applyProtection="1"/>
    <xf numFmtId="0" fontId="0" fillId="0" borderId="185" xfId="0" applyBorder="1" applyProtection="1"/>
    <xf numFmtId="2" fontId="0" fillId="0" borderId="14" xfId="0" applyNumberFormat="1" applyBorder="1" applyProtection="1"/>
    <xf numFmtId="0" fontId="0" fillId="0" borderId="15" xfId="0" applyBorder="1" applyProtection="1"/>
    <xf numFmtId="4" fontId="0" fillId="3" borderId="219" xfId="0" applyNumberFormat="1" applyFill="1" applyBorder="1" applyProtection="1"/>
    <xf numFmtId="0" fontId="3" fillId="0" borderId="186" xfId="0" applyFont="1" applyBorder="1" applyAlignment="1" applyProtection="1">
      <alignment horizontal="center"/>
    </xf>
    <xf numFmtId="0" fontId="0" fillId="0" borderId="220" xfId="0" applyBorder="1" applyProtection="1"/>
    <xf numFmtId="0" fontId="0" fillId="0" borderId="187" xfId="0" applyBorder="1" applyProtection="1"/>
    <xf numFmtId="4" fontId="0" fillId="3" borderId="221" xfId="0" applyNumberFormat="1" applyFill="1" applyBorder="1" applyProtection="1"/>
    <xf numFmtId="0" fontId="3" fillId="0" borderId="188" xfId="0" applyFont="1" applyBorder="1" applyAlignment="1" applyProtection="1">
      <alignment horizontal="center"/>
    </xf>
    <xf numFmtId="0" fontId="0" fillId="0" borderId="222" xfId="0" applyBorder="1" applyProtection="1"/>
    <xf numFmtId="0" fontId="0" fillId="0" borderId="189" xfId="0" applyBorder="1" applyProtection="1"/>
    <xf numFmtId="2" fontId="0" fillId="0" borderId="0" xfId="0" applyNumberFormat="1" applyProtection="1"/>
    <xf numFmtId="4" fontId="0" fillId="3" borderId="223" xfId="0" applyNumberFormat="1" applyFill="1" applyBorder="1" applyProtection="1"/>
    <xf numFmtId="0" fontId="3" fillId="0" borderId="190" xfId="0" applyFont="1" applyBorder="1" applyAlignment="1" applyProtection="1">
      <alignment horizontal="center"/>
    </xf>
    <xf numFmtId="0" fontId="0" fillId="0" borderId="224" xfId="0" applyBorder="1" applyProtection="1"/>
    <xf numFmtId="0" fontId="0" fillId="0" borderId="191" xfId="0" applyBorder="1" applyProtection="1"/>
    <xf numFmtId="2" fontId="0" fillId="0" borderId="16" xfId="0" applyNumberFormat="1" applyBorder="1" applyProtection="1"/>
    <xf numFmtId="0" fontId="0" fillId="0" borderId="17" xfId="0" applyBorder="1" applyProtection="1"/>
    <xf numFmtId="4" fontId="0" fillId="3" borderId="225" xfId="0" applyNumberFormat="1" applyFill="1" applyBorder="1" applyProtection="1"/>
    <xf numFmtId="0" fontId="3" fillId="0" borderId="192" xfId="0" applyFont="1" applyBorder="1" applyAlignment="1" applyProtection="1">
      <alignment horizontal="center"/>
    </xf>
    <xf numFmtId="0" fontId="0" fillId="0" borderId="226" xfId="0" applyBorder="1" applyProtection="1"/>
    <xf numFmtId="0" fontId="0" fillId="0" borderId="193" xfId="0" applyBorder="1" applyProtection="1"/>
    <xf numFmtId="2" fontId="0" fillId="0" borderId="18" xfId="0" applyNumberFormat="1" applyBorder="1" applyProtection="1"/>
    <xf numFmtId="0" fontId="0" fillId="0" borderId="19" xfId="0" applyBorder="1" applyProtection="1"/>
    <xf numFmtId="4" fontId="0" fillId="3" borderId="227" xfId="0" applyNumberFormat="1" applyFill="1" applyBorder="1" applyProtection="1"/>
    <xf numFmtId="0" fontId="3" fillId="0" borderId="194" xfId="0" applyFont="1" applyBorder="1" applyAlignment="1" applyProtection="1">
      <alignment horizontal="center"/>
    </xf>
    <xf numFmtId="0" fontId="0" fillId="0" borderId="228" xfId="0" applyBorder="1" applyProtection="1"/>
    <xf numFmtId="0" fontId="0" fillId="0" borderId="196" xfId="0" applyBorder="1" applyProtection="1"/>
    <xf numFmtId="2" fontId="0" fillId="0" borderId="197" xfId="0" applyNumberFormat="1" applyBorder="1" applyProtection="1"/>
    <xf numFmtId="0" fontId="0" fillId="0" borderId="198" xfId="0" applyBorder="1" applyProtection="1"/>
    <xf numFmtId="0" fontId="0" fillId="0" borderId="199" xfId="0" applyBorder="1" applyProtection="1"/>
    <xf numFmtId="0" fontId="3" fillId="0" borderId="230" xfId="0" applyFont="1" applyBorder="1" applyAlignment="1" applyProtection="1">
      <alignment horizontal="center"/>
    </xf>
    <xf numFmtId="2" fontId="0" fillId="0" borderId="20" xfId="0" applyNumberFormat="1" applyBorder="1" applyProtection="1"/>
    <xf numFmtId="0" fontId="0" fillId="0" borderId="21" xfId="0" applyBorder="1" applyProtection="1"/>
    <xf numFmtId="2" fontId="0" fillId="0" borderId="22" xfId="0" applyNumberFormat="1" applyBorder="1" applyProtection="1"/>
    <xf numFmtId="2" fontId="0" fillId="0" borderId="23" xfId="0" applyNumberFormat="1" applyBorder="1" applyProtection="1"/>
    <xf numFmtId="0" fontId="0" fillId="0" borderId="24" xfId="0" applyBorder="1" applyProtection="1"/>
    <xf numFmtId="2" fontId="0" fillId="0" borderId="203" xfId="0" applyNumberFormat="1" applyBorder="1" applyProtection="1"/>
    <xf numFmtId="0" fontId="0" fillId="0" borderId="201" xfId="0" applyBorder="1" applyProtection="1"/>
    <xf numFmtId="2" fontId="0" fillId="0" borderId="25" xfId="0" applyNumberFormat="1" applyBorder="1" applyProtection="1"/>
    <xf numFmtId="0" fontId="0" fillId="0" borderId="202" xfId="0" applyBorder="1" applyProtection="1"/>
    <xf numFmtId="2" fontId="0" fillId="0" borderId="204" xfId="0" applyNumberFormat="1" applyBorder="1" applyProtection="1"/>
    <xf numFmtId="0" fontId="0" fillId="0" borderId="26" xfId="0" applyBorder="1" applyProtection="1"/>
    <xf numFmtId="2" fontId="0" fillId="0" borderId="27" xfId="0" applyNumberFormat="1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4" fontId="0" fillId="0" borderId="52" xfId="0" applyNumberFormat="1" applyBorder="1" applyProtection="1"/>
    <xf numFmtId="4" fontId="0" fillId="0" borderId="31" xfId="0" applyNumberFormat="1" applyBorder="1" applyProtection="1"/>
    <xf numFmtId="4" fontId="0" fillId="0" borderId="32" xfId="0" applyNumberFormat="1" applyBorder="1" applyProtection="1"/>
    <xf numFmtId="4" fontId="0" fillId="0" borderId="53" xfId="0" applyNumberFormat="1" applyBorder="1" applyProtection="1"/>
    <xf numFmtId="164" fontId="0" fillId="0" borderId="0" xfId="0" applyNumberFormat="1" applyProtection="1"/>
    <xf numFmtId="4" fontId="0" fillId="0" borderId="33" xfId="0" applyNumberFormat="1" applyBorder="1" applyProtection="1"/>
    <xf numFmtId="4" fontId="0" fillId="0" borderId="34" xfId="0" applyNumberFormat="1" applyBorder="1" applyProtection="1"/>
    <xf numFmtId="4" fontId="0" fillId="0" borderId="54" xfId="0" applyNumberFormat="1" applyBorder="1" applyProtection="1"/>
    <xf numFmtId="0" fontId="0" fillId="0" borderId="35" xfId="0" applyBorder="1" applyProtection="1"/>
    <xf numFmtId="0" fontId="0" fillId="0" borderId="36" xfId="0" applyBorder="1" applyProtection="1"/>
    <xf numFmtId="4" fontId="0" fillId="0" borderId="37" xfId="0" applyNumberFormat="1" applyBorder="1" applyProtection="1"/>
    <xf numFmtId="2" fontId="0" fillId="0" borderId="38" xfId="0" applyNumberFormat="1" applyBorder="1" applyProtection="1"/>
    <xf numFmtId="2" fontId="0" fillId="0" borderId="39" xfId="0" applyNumberFormat="1" applyBorder="1" applyProtection="1"/>
    <xf numFmtId="2" fontId="0" fillId="0" borderId="46" xfId="0" applyNumberFormat="1" applyBorder="1" applyProtection="1"/>
    <xf numFmtId="2" fontId="0" fillId="0" borderId="40" xfId="0" applyNumberFormat="1" applyBorder="1" applyProtection="1"/>
    <xf numFmtId="2" fontId="0" fillId="0" borderId="44" xfId="0" applyNumberFormat="1" applyBorder="1" applyProtection="1"/>
    <xf numFmtId="2" fontId="0" fillId="0" borderId="49" xfId="0" applyNumberFormat="1" applyBorder="1" applyProtection="1"/>
    <xf numFmtId="0" fontId="0" fillId="0" borderId="45" xfId="0" applyBorder="1" applyProtection="1"/>
    <xf numFmtId="2" fontId="0" fillId="0" borderId="41" xfId="0" applyNumberFormat="1" applyBorder="1" applyProtection="1"/>
    <xf numFmtId="2" fontId="0" fillId="0" borderId="47" xfId="0" applyNumberFormat="1" applyBorder="1" applyProtection="1"/>
    <xf numFmtId="0" fontId="0" fillId="0" borderId="48" xfId="0" applyBorder="1" applyProtection="1"/>
    <xf numFmtId="2" fontId="0" fillId="0" borderId="42" xfId="0" applyNumberFormat="1" applyBorder="1" applyProtection="1"/>
    <xf numFmtId="2" fontId="0" fillId="0" borderId="43" xfId="0" applyNumberFormat="1" applyBorder="1" applyProtection="1"/>
    <xf numFmtId="2" fontId="0" fillId="0" borderId="50" xfId="0" applyNumberFormat="1" applyBorder="1" applyProtection="1"/>
    <xf numFmtId="2" fontId="0" fillId="0" borderId="51" xfId="0" applyNumberFormat="1" applyBorder="1" applyProtection="1"/>
    <xf numFmtId="0" fontId="0" fillId="6" borderId="56" xfId="0" applyFill="1" applyBorder="1" applyProtection="1"/>
    <xf numFmtId="4" fontId="0" fillId="4" borderId="55" xfId="0" applyNumberFormat="1" applyFill="1" applyBorder="1" applyProtection="1"/>
    <xf numFmtId="0" fontId="0" fillId="0" borderId="60" xfId="0" applyBorder="1" applyAlignment="1" applyProtection="1">
      <alignment horizontal="center"/>
    </xf>
    <xf numFmtId="0" fontId="0" fillId="0" borderId="61" xfId="0" applyBorder="1" applyProtection="1"/>
    <xf numFmtId="4" fontId="0" fillId="4" borderId="57" xfId="0" applyNumberFormat="1" applyFill="1" applyBorder="1" applyProtection="1"/>
    <xf numFmtId="0" fontId="0" fillId="0" borderId="58" xfId="0" applyBorder="1" applyAlignment="1" applyProtection="1">
      <alignment horizontal="center"/>
    </xf>
    <xf numFmtId="0" fontId="0" fillId="0" borderId="59" xfId="0" applyBorder="1" applyProtection="1"/>
    <xf numFmtId="0" fontId="0" fillId="6" borderId="0" xfId="0" applyFill="1" applyProtection="1"/>
    <xf numFmtId="2" fontId="0" fillId="0" borderId="62" xfId="0" applyNumberFormat="1" applyBorder="1" applyProtection="1"/>
    <xf numFmtId="0" fontId="0" fillId="0" borderId="63" xfId="0" applyBorder="1" applyProtection="1"/>
    <xf numFmtId="0" fontId="0" fillId="0" borderId="65" xfId="0" applyBorder="1" applyProtection="1"/>
    <xf numFmtId="2" fontId="0" fillId="0" borderId="64" xfId="0" applyNumberFormat="1" applyBorder="1" applyProtection="1"/>
    <xf numFmtId="0" fontId="0" fillId="0" borderId="67" xfId="0" applyBorder="1" applyAlignment="1" applyProtection="1">
      <alignment horizontal="center"/>
    </xf>
    <xf numFmtId="4" fontId="0" fillId="0" borderId="69" xfId="0" applyNumberFormat="1" applyBorder="1" applyProtection="1"/>
    <xf numFmtId="2" fontId="0" fillId="0" borderId="66" xfId="0" applyNumberFormat="1" applyBorder="1" applyProtection="1"/>
    <xf numFmtId="0" fontId="0" fillId="0" borderId="68" xfId="0" applyBorder="1" applyAlignment="1" applyProtection="1">
      <alignment horizontal="center"/>
    </xf>
    <xf numFmtId="4" fontId="0" fillId="0" borderId="70" xfId="0" applyNumberFormat="1" applyBorder="1" applyProtection="1"/>
    <xf numFmtId="2" fontId="0" fillId="0" borderId="71" xfId="0" applyNumberFormat="1" applyBorder="1" applyProtection="1"/>
    <xf numFmtId="0" fontId="0" fillId="0" borderId="72" xfId="0" applyBorder="1" applyProtection="1"/>
    <xf numFmtId="2" fontId="0" fillId="0" borderId="73" xfId="0" applyNumberFormat="1" applyBorder="1" applyProtection="1"/>
    <xf numFmtId="0" fontId="0" fillId="0" borderId="74" xfId="0" applyBorder="1" applyProtection="1"/>
    <xf numFmtId="2" fontId="0" fillId="8" borderId="75" xfId="0" applyNumberFormat="1" applyFill="1" applyBorder="1" applyProtection="1"/>
    <xf numFmtId="0" fontId="0" fillId="0" borderId="76" xfId="0" applyBorder="1" applyAlignment="1" applyProtection="1">
      <alignment horizontal="center"/>
    </xf>
    <xf numFmtId="4" fontId="0" fillId="0" borderId="77" xfId="0" applyNumberFormat="1" applyBorder="1" applyProtection="1"/>
    <xf numFmtId="0" fontId="0" fillId="0" borderId="78" xfId="0" applyBorder="1" applyProtection="1"/>
    <xf numFmtId="0" fontId="0" fillId="0" borderId="127" xfId="0" applyBorder="1" applyProtection="1"/>
    <xf numFmtId="0" fontId="0" fillId="0" borderId="146" xfId="0" applyBorder="1" applyProtection="1"/>
    <xf numFmtId="0" fontId="0" fillId="0" borderId="148" xfId="0" applyBorder="1" applyProtection="1"/>
    <xf numFmtId="0" fontId="0" fillId="0" borderId="150" xfId="0" applyBorder="1" applyProtection="1"/>
    <xf numFmtId="2" fontId="0" fillId="0" borderId="123" xfId="0" applyNumberFormat="1" applyBorder="1" applyProtection="1"/>
    <xf numFmtId="2" fontId="0" fillId="0" borderId="79" xfId="0" applyNumberFormat="1" applyBorder="1" applyProtection="1"/>
    <xf numFmtId="2" fontId="0" fillId="0" borderId="124" xfId="0" applyNumberFormat="1" applyBorder="1" applyProtection="1"/>
    <xf numFmtId="0" fontId="0" fillId="0" borderId="135" xfId="0" applyBorder="1" applyProtection="1"/>
    <xf numFmtId="0" fontId="0" fillId="0" borderId="136" xfId="0" applyBorder="1" applyProtection="1"/>
    <xf numFmtId="2" fontId="0" fillId="0" borderId="125" xfId="0" applyNumberFormat="1" applyBorder="1" applyProtection="1"/>
    <xf numFmtId="2" fontId="0" fillId="0" borderId="80" xfId="0" applyNumberFormat="1" applyBorder="1" applyProtection="1"/>
    <xf numFmtId="2" fontId="0" fillId="0" borderId="126" xfId="0" applyNumberFormat="1" applyBorder="1" applyProtection="1"/>
    <xf numFmtId="0" fontId="0" fillId="0" borderId="137" xfId="0" applyBorder="1" applyProtection="1"/>
    <xf numFmtId="0" fontId="0" fillId="0" borderId="138" xfId="0" applyBorder="1" applyProtection="1"/>
    <xf numFmtId="2" fontId="0" fillId="0" borderId="128" xfId="0" applyNumberFormat="1" applyBorder="1" applyProtection="1"/>
    <xf numFmtId="0" fontId="0" fillId="0" borderId="139" xfId="0" applyBorder="1" applyProtection="1"/>
    <xf numFmtId="0" fontId="0" fillId="0" borderId="140" xfId="0" applyBorder="1" applyProtection="1"/>
    <xf numFmtId="0" fontId="1" fillId="0" borderId="81" xfId="0" applyFont="1" applyBorder="1" applyAlignment="1" applyProtection="1">
      <alignment horizontal="center"/>
    </xf>
    <xf numFmtId="0" fontId="1" fillId="0" borderId="82" xfId="0" applyFont="1" applyBorder="1" applyAlignment="1" applyProtection="1">
      <alignment horizontal="center"/>
    </xf>
    <xf numFmtId="4" fontId="1" fillId="0" borderId="155" xfId="0" applyNumberFormat="1" applyFont="1" applyBorder="1" applyAlignment="1" applyProtection="1">
      <alignment horizontal="center"/>
    </xf>
    <xf numFmtId="0" fontId="1" fillId="0" borderId="141" xfId="0" applyFont="1" applyBorder="1" applyAlignment="1" applyProtection="1">
      <alignment horizontal="center"/>
    </xf>
    <xf numFmtId="0" fontId="1" fillId="0" borderId="156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0" fillId="0" borderId="83" xfId="0" applyNumberFormat="1" applyBorder="1" applyProtection="1"/>
    <xf numFmtId="2" fontId="0" fillId="0" borderId="84" xfId="0" applyNumberFormat="1" applyBorder="1" applyProtection="1"/>
    <xf numFmtId="2" fontId="0" fillId="0" borderId="88" xfId="0" applyNumberFormat="1" applyBorder="1" applyProtection="1"/>
    <xf numFmtId="2" fontId="0" fillId="0" borderId="142" xfId="0" applyNumberFormat="1" applyBorder="1" applyProtection="1"/>
    <xf numFmtId="0" fontId="0" fillId="0" borderId="143" xfId="0" applyBorder="1" applyProtection="1"/>
    <xf numFmtId="2" fontId="0" fillId="0" borderId="85" xfId="0" applyNumberFormat="1" applyBorder="1" applyProtection="1"/>
    <xf numFmtId="2" fontId="0" fillId="0" borderId="86" xfId="0" applyNumberFormat="1" applyBorder="1" applyProtection="1"/>
    <xf numFmtId="2" fontId="0" fillId="0" borderId="144" xfId="0" applyNumberFormat="1" applyBorder="1" applyProtection="1"/>
    <xf numFmtId="2" fontId="0" fillId="0" borderId="153" xfId="0" applyNumberFormat="1" applyBorder="1" applyProtection="1"/>
    <xf numFmtId="0" fontId="0" fillId="0" borderId="145" xfId="0" applyBorder="1" applyProtection="1"/>
    <xf numFmtId="2" fontId="0" fillId="0" borderId="151" xfId="0" applyNumberFormat="1" applyBorder="1" applyProtection="1"/>
    <xf numFmtId="0" fontId="0" fillId="0" borderId="152" xfId="0" applyBorder="1" applyProtection="1"/>
    <xf numFmtId="0" fontId="0" fillId="0" borderId="85" xfId="0" applyBorder="1" applyProtection="1"/>
    <xf numFmtId="0" fontId="0" fillId="0" borderId="86" xfId="0" applyBorder="1" applyProtection="1"/>
    <xf numFmtId="4" fontId="0" fillId="0" borderId="88" xfId="0" applyNumberFormat="1" applyBorder="1" applyProtection="1"/>
    <xf numFmtId="0" fontId="0" fillId="0" borderId="147" xfId="0" applyBorder="1" applyProtection="1"/>
    <xf numFmtId="0" fontId="0" fillId="0" borderId="149" xfId="0" applyBorder="1" applyProtection="1"/>
    <xf numFmtId="0" fontId="0" fillId="0" borderId="154" xfId="0" applyBorder="1" applyProtection="1"/>
    <xf numFmtId="0" fontId="0" fillId="0" borderId="115" xfId="0" applyBorder="1" applyProtection="1"/>
    <xf numFmtId="0" fontId="0" fillId="0" borderId="103" xfId="0" applyBorder="1" applyProtection="1"/>
    <xf numFmtId="0" fontId="0" fillId="0" borderId="104" xfId="0" applyBorder="1" applyProtection="1"/>
    <xf numFmtId="0" fontId="0" fillId="0" borderId="105" xfId="0" applyBorder="1" applyProtection="1"/>
    <xf numFmtId="0" fontId="0" fillId="0" borderId="99" xfId="0" applyBorder="1" applyProtection="1"/>
    <xf numFmtId="0" fontId="1" fillId="0" borderId="85" xfId="0" applyFont="1" applyBorder="1" applyAlignment="1" applyProtection="1">
      <alignment horizontal="center"/>
    </xf>
    <xf numFmtId="0" fontId="1" fillId="0" borderId="86" xfId="0" applyFont="1" applyBorder="1" applyAlignment="1" applyProtection="1">
      <alignment horizontal="center"/>
    </xf>
    <xf numFmtId="4" fontId="1" fillId="0" borderId="88" xfId="0" applyNumberFormat="1" applyFont="1" applyBorder="1" applyAlignment="1" applyProtection="1">
      <alignment horizontal="center"/>
    </xf>
    <xf numFmtId="0" fontId="1" fillId="0" borderId="115" xfId="0" applyFont="1" applyBorder="1" applyAlignment="1" applyProtection="1">
      <alignment horizontal="center"/>
    </xf>
    <xf numFmtId="0" fontId="1" fillId="0" borderId="103" xfId="0" applyFont="1" applyBorder="1" applyAlignment="1" applyProtection="1">
      <alignment horizontal="center"/>
    </xf>
    <xf numFmtId="0" fontId="1" fillId="0" borderId="121" xfId="0" applyFont="1" applyBorder="1" applyAlignment="1" applyProtection="1">
      <alignment horizontal="center"/>
    </xf>
    <xf numFmtId="0" fontId="1" fillId="0" borderId="118" xfId="0" applyFont="1" applyBorder="1" applyAlignment="1" applyProtection="1">
      <alignment horizontal="center"/>
    </xf>
    <xf numFmtId="2" fontId="0" fillId="0" borderId="115" xfId="0" applyNumberFormat="1" applyBorder="1" applyProtection="1"/>
    <xf numFmtId="2" fontId="0" fillId="0" borderId="119" xfId="0" applyNumberFormat="1" applyBorder="1" applyProtection="1"/>
    <xf numFmtId="2" fontId="0" fillId="0" borderId="122" xfId="0" applyNumberFormat="1" applyBorder="1" applyProtection="1"/>
    <xf numFmtId="2" fontId="0" fillId="0" borderId="120" xfId="0" applyNumberFormat="1" applyBorder="1" applyProtection="1"/>
    <xf numFmtId="2" fontId="0" fillId="0" borderId="117" xfId="0" applyNumberFormat="1" applyBorder="1" applyProtection="1"/>
    <xf numFmtId="2" fontId="0" fillId="0" borderId="103" xfId="0" applyNumberFormat="1" applyBorder="1" applyProtection="1"/>
    <xf numFmtId="2" fontId="0" fillId="0" borderId="99" xfId="0" applyNumberFormat="1" applyBorder="1" applyProtection="1"/>
    <xf numFmtId="0" fontId="0" fillId="0" borderId="96" xfId="0" applyBorder="1" applyProtection="1"/>
    <xf numFmtId="4" fontId="0" fillId="0" borderId="100" xfId="0" applyNumberFormat="1" applyBorder="1" applyProtection="1"/>
    <xf numFmtId="0" fontId="0" fillId="0" borderId="116" xfId="0" applyBorder="1" applyProtection="1"/>
    <xf numFmtId="0" fontId="0" fillId="0" borderId="90" xfId="0" applyBorder="1" applyProtection="1"/>
    <xf numFmtId="0" fontId="0" fillId="0" borderId="91" xfId="0" applyBorder="1" applyProtection="1"/>
    <xf numFmtId="0" fontId="0" fillId="0" borderId="92" xfId="0" applyBorder="1" applyProtection="1"/>
    <xf numFmtId="0" fontId="0" fillId="0" borderId="101" xfId="0" applyBorder="1" applyProtection="1"/>
    <xf numFmtId="0" fontId="0" fillId="0" borderId="97" xfId="0" applyBorder="1" applyProtection="1"/>
    <xf numFmtId="0" fontId="0" fillId="0" borderId="131" xfId="0" applyBorder="1" applyProtection="1"/>
    <xf numFmtId="0" fontId="0" fillId="0" borderId="132" xfId="0" applyBorder="1" applyProtection="1"/>
    <xf numFmtId="2" fontId="0" fillId="0" borderId="87" xfId="0" applyNumberFormat="1" applyBorder="1" applyProtection="1"/>
    <xf numFmtId="2" fontId="0" fillId="0" borderId="89" xfId="0" applyNumberFormat="1" applyBorder="1" applyProtection="1"/>
    <xf numFmtId="2" fontId="0" fillId="0" borderId="109" xfId="0" applyNumberFormat="1" applyBorder="1" applyProtection="1"/>
    <xf numFmtId="2" fontId="0" fillId="0" borderId="106" xfId="0" applyNumberFormat="1" applyBorder="1" applyProtection="1"/>
    <xf numFmtId="2" fontId="0" fillId="0" borderId="93" xfId="0" applyNumberFormat="1" applyBorder="1" applyProtection="1"/>
    <xf numFmtId="2" fontId="0" fillId="0" borderId="94" xfId="0" applyNumberFormat="1" applyBorder="1" applyProtection="1"/>
    <xf numFmtId="2" fontId="0" fillId="0" borderId="95" xfId="0" applyNumberFormat="1" applyBorder="1" applyProtection="1"/>
    <xf numFmtId="2" fontId="0" fillId="0" borderId="102" xfId="0" applyNumberFormat="1" applyBorder="1" applyProtection="1"/>
    <xf numFmtId="2" fontId="0" fillId="0" borderId="98" xfId="0" applyNumberFormat="1" applyBorder="1" applyProtection="1"/>
    <xf numFmtId="165" fontId="0" fillId="0" borderId="0" xfId="0" applyNumberFormat="1" applyProtection="1"/>
    <xf numFmtId="165" fontId="0" fillId="0" borderId="133" xfId="0" applyNumberFormat="1" applyBorder="1" applyProtection="1"/>
    <xf numFmtId="0" fontId="2" fillId="0" borderId="207" xfId="0" applyFont="1" applyBorder="1" applyAlignment="1" applyProtection="1">
      <alignment horizontal="center"/>
    </xf>
    <xf numFmtId="0" fontId="0" fillId="0" borderId="129" xfId="0" applyBorder="1" applyProtection="1"/>
    <xf numFmtId="2" fontId="0" fillId="0" borderId="107" xfId="0" applyNumberFormat="1" applyBorder="1" applyProtection="1"/>
    <xf numFmtId="2" fontId="0" fillId="0" borderId="112" xfId="0" applyNumberFormat="1" applyBorder="1" applyProtection="1"/>
    <xf numFmtId="2" fontId="0" fillId="0" borderId="108" xfId="0" applyNumberFormat="1" applyBorder="1" applyProtection="1"/>
    <xf numFmtId="0" fontId="2" fillId="0" borderId="208" xfId="0" applyFont="1" applyBorder="1" applyAlignment="1" applyProtection="1">
      <alignment horizontal="center"/>
    </xf>
    <xf numFmtId="0" fontId="0" fillId="0" borderId="130" xfId="0" applyBorder="1" applyProtection="1"/>
    <xf numFmtId="2" fontId="0" fillId="0" borderId="110" xfId="0" applyNumberFormat="1" applyBorder="1" applyProtection="1"/>
    <xf numFmtId="2" fontId="0" fillId="0" borderId="113" xfId="0" applyNumberFormat="1" applyBorder="1" applyProtection="1"/>
    <xf numFmtId="2" fontId="0" fillId="0" borderId="111" xfId="0" applyNumberFormat="1" applyBorder="1" applyProtection="1"/>
    <xf numFmtId="0" fontId="2" fillId="0" borderId="209" xfId="0" applyFont="1" applyBorder="1" applyAlignment="1" applyProtection="1">
      <alignment horizontal="center"/>
    </xf>
    <xf numFmtId="0" fontId="0" fillId="0" borderId="114" xfId="0" applyBorder="1" applyProtection="1"/>
    <xf numFmtId="0" fontId="0" fillId="0" borderId="157" xfId="0" applyBorder="1" applyProtection="1"/>
    <xf numFmtId="4" fontId="0" fillId="0" borderId="161" xfId="0" applyNumberFormat="1" applyBorder="1" applyProtection="1"/>
    <xf numFmtId="0" fontId="0" fillId="0" borderId="164" xfId="0" applyBorder="1" applyProtection="1"/>
    <xf numFmtId="0" fontId="0" fillId="0" borderId="165" xfId="0" applyBorder="1" applyProtection="1"/>
    <xf numFmtId="0" fontId="0" fillId="0" borderId="206" xfId="0" applyBorder="1" applyProtection="1"/>
    <xf numFmtId="0" fontId="0" fillId="0" borderId="158" xfId="0" applyBorder="1" applyProtection="1"/>
    <xf numFmtId="0" fontId="0" fillId="0" borderId="162" xfId="0" applyBorder="1" applyProtection="1"/>
    <xf numFmtId="4" fontId="0" fillId="0" borderId="163" xfId="0" applyNumberFormat="1" applyBorder="1" applyProtection="1"/>
    <xf numFmtId="165" fontId="0" fillId="0" borderId="166" xfId="0" applyNumberFormat="1" applyBorder="1" applyProtection="1"/>
    <xf numFmtId="165" fontId="0" fillId="0" borderId="167" xfId="0" applyNumberFormat="1" applyBorder="1" applyProtection="1"/>
    <xf numFmtId="0" fontId="2" fillId="0" borderId="210" xfId="0" applyFont="1" applyBorder="1" applyAlignment="1" applyProtection="1">
      <alignment horizontal="center"/>
    </xf>
    <xf numFmtId="0" fontId="0" fillId="0" borderId="159" xfId="0" applyBorder="1" applyProtection="1"/>
    <xf numFmtId="0" fontId="2" fillId="0" borderId="211" xfId="0" applyFont="1" applyBorder="1" applyAlignment="1" applyProtection="1">
      <alignment horizontal="center"/>
    </xf>
    <xf numFmtId="0" fontId="0" fillId="0" borderId="160" xfId="0" applyBorder="1" applyProtection="1"/>
    <xf numFmtId="0" fontId="2" fillId="0" borderId="212" xfId="0" applyFont="1" applyBorder="1" applyAlignment="1" applyProtection="1">
      <alignment horizontal="center"/>
    </xf>
    <xf numFmtId="0" fontId="5" fillId="0" borderId="0" xfId="0" applyFont="1" applyProtection="1"/>
    <xf numFmtId="0" fontId="7" fillId="0" borderId="0" xfId="0" applyFont="1" applyProtection="1"/>
    <xf numFmtId="0" fontId="0" fillId="0" borderId="231" xfId="0" applyBorder="1" applyProtection="1"/>
    <xf numFmtId="0" fontId="0" fillId="0" borderId="7" xfId="0" applyBorder="1" applyProtection="1"/>
    <xf numFmtId="0" fontId="0" fillId="0" borderId="205" xfId="0" applyBorder="1" applyProtection="1"/>
    <xf numFmtId="0" fontId="9" fillId="0" borderId="0" xfId="0" applyFont="1" applyAlignment="1">
      <alignment horizontal="center"/>
    </xf>
    <xf numFmtId="165" fontId="0" fillId="0" borderId="0" xfId="0" applyNumberFormat="1"/>
    <xf numFmtId="0" fontId="9" fillId="0" borderId="232" xfId="0" applyFont="1" applyBorder="1" applyAlignment="1">
      <alignment horizontal="center" wrapText="1"/>
    </xf>
    <xf numFmtId="0" fontId="0" fillId="0" borderId="232" xfId="0" applyBorder="1"/>
    <xf numFmtId="2" fontId="0" fillId="0" borderId="231" xfId="0" applyNumberFormat="1" applyBorder="1" applyProtection="1"/>
    <xf numFmtId="4" fontId="0" fillId="3" borderId="231" xfId="0" applyNumberFormat="1" applyFill="1" applyBorder="1" applyProtection="1">
      <protection locked="0"/>
    </xf>
    <xf numFmtId="0" fontId="0" fillId="0" borderId="233" xfId="0" applyBorder="1" applyProtection="1"/>
    <xf numFmtId="0" fontId="0" fillId="0" borderId="234" xfId="0" applyBorder="1" applyProtection="1"/>
    <xf numFmtId="0" fontId="0" fillId="0" borderId="235" xfId="0" applyBorder="1" applyProtection="1"/>
    <xf numFmtId="0" fontId="0" fillId="0" borderId="236" xfId="0" applyBorder="1" applyProtection="1"/>
    <xf numFmtId="0" fontId="0" fillId="10" borderId="231" xfId="0" applyFill="1" applyBorder="1" applyProtection="1"/>
    <xf numFmtId="0" fontId="0" fillId="0" borderId="237" xfId="0" applyBorder="1" applyProtection="1"/>
    <xf numFmtId="0" fontId="0" fillId="11" borderId="231" xfId="0" applyFill="1" applyBorder="1" applyProtection="1"/>
    <xf numFmtId="0" fontId="0" fillId="8" borderId="231" xfId="0" applyFill="1" applyBorder="1" applyProtection="1"/>
    <xf numFmtId="0" fontId="0" fillId="9" borderId="231" xfId="0" applyFill="1" applyBorder="1" applyProtection="1"/>
    <xf numFmtId="0" fontId="0" fillId="0" borderId="238" xfId="0" applyBorder="1" applyProtection="1"/>
    <xf numFmtId="0" fontId="0" fillId="0" borderId="239" xfId="0" applyBorder="1" applyProtection="1"/>
    <xf numFmtId="0" fontId="0" fillId="0" borderId="240" xfId="0" applyBorder="1" applyProtection="1"/>
    <xf numFmtId="0" fontId="0" fillId="0" borderId="236" xfId="0" applyBorder="1" applyAlignment="1" applyProtection="1">
      <alignment horizontal="right"/>
    </xf>
    <xf numFmtId="0" fontId="3" fillId="0" borderId="237" xfId="0" applyFont="1" applyBorder="1" applyAlignment="1" applyProtection="1">
      <alignment horizontal="center"/>
    </xf>
    <xf numFmtId="0" fontId="0" fillId="0" borderId="236" xfId="0" applyBorder="1" applyAlignment="1" applyProtection="1">
      <alignment horizontal="left"/>
    </xf>
    <xf numFmtId="0" fontId="1" fillId="0" borderId="237" xfId="0" applyFont="1" applyBorder="1" applyAlignment="1" applyProtection="1">
      <alignment horizontal="center"/>
    </xf>
    <xf numFmtId="0" fontId="0" fillId="0" borderId="238" xfId="0" applyBorder="1" applyAlignment="1" applyProtection="1">
      <alignment horizontal="right"/>
    </xf>
    <xf numFmtId="2" fontId="0" fillId="0" borderId="239" xfId="0" applyNumberFormat="1" applyBorder="1" applyProtection="1"/>
    <xf numFmtId="4" fontId="0" fillId="3" borderId="239" xfId="0" applyNumberFormat="1" applyFill="1" applyBorder="1" applyProtection="1">
      <protection locked="0"/>
    </xf>
    <xf numFmtId="0" fontId="1" fillId="0" borderId="240" xfId="0" applyFont="1" applyBorder="1" applyAlignment="1" applyProtection="1">
      <alignment horizontal="center"/>
    </xf>
    <xf numFmtId="166" fontId="0" fillId="11" borderId="231" xfId="0" applyNumberFormat="1" applyFill="1" applyBorder="1" applyProtection="1">
      <protection locked="0"/>
    </xf>
    <xf numFmtId="165" fontId="0" fillId="0" borderId="231" xfId="0" applyNumberFormat="1" applyBorder="1" applyProtection="1"/>
    <xf numFmtId="165" fontId="0" fillId="7" borderId="231" xfId="0" applyNumberFormat="1" applyFill="1" applyBorder="1" applyProtection="1">
      <protection locked="0"/>
    </xf>
    <xf numFmtId="165" fontId="0" fillId="9" borderId="231" xfId="0" applyNumberFormat="1" applyFill="1" applyBorder="1" applyProtection="1"/>
    <xf numFmtId="0" fontId="2" fillId="9" borderId="237" xfId="0" applyFont="1" applyFill="1" applyBorder="1" applyAlignment="1" applyProtection="1">
      <alignment horizontal="center"/>
    </xf>
    <xf numFmtId="0" fontId="2" fillId="9" borderId="231" xfId="0" applyFont="1" applyFill="1" applyBorder="1" applyAlignment="1" applyProtection="1">
      <alignment horizontal="center"/>
    </xf>
    <xf numFmtId="165" fontId="0" fillId="0" borderId="239" xfId="0" applyNumberFormat="1" applyBorder="1" applyProtection="1"/>
    <xf numFmtId="165" fontId="0" fillId="7" borderId="239" xfId="0" applyNumberFormat="1" applyFill="1" applyBorder="1" applyProtection="1">
      <protection locked="0"/>
    </xf>
    <xf numFmtId="165" fontId="0" fillId="9" borderId="239" xfId="0" applyNumberFormat="1" applyFill="1" applyBorder="1" applyProtection="1"/>
    <xf numFmtId="0" fontId="2" fillId="9" borderId="239" xfId="0" applyFont="1" applyFill="1" applyBorder="1" applyAlignment="1" applyProtection="1">
      <alignment horizontal="center"/>
    </xf>
    <xf numFmtId="2" fontId="0" fillId="8" borderId="234" xfId="0" applyNumberFormat="1" applyFill="1" applyBorder="1" applyProtection="1"/>
    <xf numFmtId="0" fontId="0" fillId="0" borderId="234" xfId="0" applyBorder="1" applyAlignment="1" applyProtection="1">
      <alignment horizontal="center"/>
    </xf>
    <xf numFmtId="2" fontId="0" fillId="8" borderId="231" xfId="0" applyNumberFormat="1" applyFill="1" applyBorder="1" applyProtection="1"/>
    <xf numFmtId="0" fontId="0" fillId="0" borderId="231" xfId="0" applyBorder="1" applyAlignment="1" applyProtection="1">
      <alignment horizontal="center"/>
    </xf>
    <xf numFmtId="2" fontId="0" fillId="0" borderId="237" xfId="0" applyNumberFormat="1" applyBorder="1" applyProtection="1"/>
    <xf numFmtId="4" fontId="0" fillId="8" borderId="239" xfId="0" applyNumberFormat="1" applyFill="1" applyBorder="1" applyProtection="1"/>
    <xf numFmtId="0" fontId="0" fillId="0" borderId="239" xfId="0" applyBorder="1" applyAlignment="1" applyProtection="1">
      <alignment horizontal="center"/>
    </xf>
    <xf numFmtId="0" fontId="0" fillId="10" borderId="234" xfId="0" applyFill="1" applyBorder="1" applyProtection="1">
      <protection locked="0"/>
    </xf>
    <xf numFmtId="0" fontId="0" fillId="10" borderId="231" xfId="0" applyFill="1" applyBorder="1" applyProtection="1">
      <protection locked="0"/>
    </xf>
    <xf numFmtId="0" fontId="0" fillId="10" borderId="239" xfId="0" applyFill="1" applyBorder="1" applyProtection="1">
      <protection locked="0"/>
    </xf>
    <xf numFmtId="0" fontId="0" fillId="10" borderId="234" xfId="0" applyFill="1" applyBorder="1" applyProtection="1"/>
    <xf numFmtId="0" fontId="4" fillId="0" borderId="237" xfId="0" applyFont="1" applyBorder="1" applyAlignment="1" applyProtection="1">
      <alignment horizontal="center"/>
    </xf>
    <xf numFmtId="0" fontId="0" fillId="13" borderId="0" xfId="0" applyFill="1" applyProtection="1"/>
    <xf numFmtId="0" fontId="9" fillId="12" borderId="233" xfId="0" applyFont="1" applyFill="1" applyBorder="1" applyAlignment="1" applyProtection="1">
      <alignment horizontal="center"/>
    </xf>
    <xf numFmtId="0" fontId="9" fillId="12" borderId="234" xfId="0" applyFont="1" applyFill="1" applyBorder="1" applyAlignment="1" applyProtection="1">
      <alignment horizontal="center"/>
    </xf>
    <xf numFmtId="0" fontId="9" fillId="12" borderId="23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4</xdr:row>
      <xdr:rowOff>171450</xdr:rowOff>
    </xdr:from>
    <xdr:to>
      <xdr:col>18</xdr:col>
      <xdr:colOff>257175</xdr:colOff>
      <xdr:row>39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104900"/>
          <a:ext cx="5562600" cy="659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C20" sqref="C20"/>
    </sheetView>
  </sheetViews>
  <sheetFormatPr defaultRowHeight="15"/>
  <cols>
    <col min="1" max="1" width="9.140625" style="4"/>
    <col min="2" max="2" width="18" style="4" customWidth="1"/>
    <col min="3" max="3" width="8.5703125" style="4" bestFit="1" customWidth="1"/>
    <col min="4" max="5" width="8" style="4" customWidth="1"/>
    <col min="6" max="16384" width="9.140625" style="4"/>
  </cols>
  <sheetData>
    <row r="1" spans="1:10" ht="21">
      <c r="A1" s="253" t="s">
        <v>121</v>
      </c>
    </row>
    <row r="2" spans="1:10" ht="21">
      <c r="A2" s="253" t="s">
        <v>138</v>
      </c>
      <c r="J2" s="4" t="s">
        <v>150</v>
      </c>
    </row>
    <row r="3" spans="1:10" ht="15.75">
      <c r="A3" s="254" t="s">
        <v>139</v>
      </c>
    </row>
    <row r="4" spans="1:10" ht="15.75" thickBot="1">
      <c r="B4" s="306" t="s">
        <v>0</v>
      </c>
    </row>
    <row r="5" spans="1:10" ht="15.75" thickBot="1">
      <c r="B5" s="264"/>
      <c r="C5" s="304" t="s">
        <v>1</v>
      </c>
      <c r="D5" s="265"/>
      <c r="E5" s="266"/>
      <c r="F5" s="255"/>
    </row>
    <row r="6" spans="1:10">
      <c r="B6" s="267" t="s">
        <v>2</v>
      </c>
      <c r="C6" s="302">
        <v>110</v>
      </c>
      <c r="D6" s="255" t="s">
        <v>3</v>
      </c>
      <c r="E6" s="269"/>
      <c r="F6" s="307" t="s">
        <v>149</v>
      </c>
      <c r="G6" s="308"/>
      <c r="H6" s="308"/>
      <c r="I6" s="309"/>
    </row>
    <row r="7" spans="1:10">
      <c r="B7" s="267" t="s">
        <v>4</v>
      </c>
      <c r="C7" s="302">
        <v>30</v>
      </c>
      <c r="D7" s="255" t="s">
        <v>5</v>
      </c>
      <c r="E7" s="269"/>
      <c r="F7" s="255"/>
      <c r="G7" s="268"/>
      <c r="H7" s="255" t="s">
        <v>6</v>
      </c>
      <c r="I7" s="269"/>
    </row>
    <row r="8" spans="1:10">
      <c r="B8" s="267"/>
      <c r="C8" s="302" t="s">
        <v>1</v>
      </c>
      <c r="D8" s="255"/>
      <c r="E8" s="269"/>
      <c r="F8" s="255"/>
      <c r="G8" s="270"/>
      <c r="H8" s="255" t="s">
        <v>7</v>
      </c>
      <c r="I8" s="269"/>
    </row>
    <row r="9" spans="1:10">
      <c r="B9" s="267" t="s">
        <v>8</v>
      </c>
      <c r="C9" s="302">
        <v>0</v>
      </c>
      <c r="D9" s="255" t="s">
        <v>9</v>
      </c>
      <c r="E9" s="269"/>
      <c r="F9" s="255"/>
      <c r="G9" s="271"/>
      <c r="H9" s="255" t="s">
        <v>10</v>
      </c>
      <c r="I9" s="269"/>
    </row>
    <row r="10" spans="1:10">
      <c r="B10" s="267"/>
      <c r="C10" s="302" t="s">
        <v>1</v>
      </c>
      <c r="D10" s="255"/>
      <c r="E10" s="269"/>
      <c r="F10" s="255"/>
      <c r="G10" s="272"/>
      <c r="H10" s="255" t="s">
        <v>11</v>
      </c>
      <c r="I10" s="269"/>
    </row>
    <row r="11" spans="1:10">
      <c r="B11" s="267" t="s">
        <v>12</v>
      </c>
      <c r="C11" s="302">
        <v>300</v>
      </c>
      <c r="D11" s="255" t="s">
        <v>13</v>
      </c>
      <c r="E11" s="269"/>
      <c r="F11" s="255"/>
      <c r="G11" s="255"/>
      <c r="H11" s="255"/>
      <c r="I11" s="269"/>
    </row>
    <row r="12" spans="1:10" ht="15.75" thickBot="1">
      <c r="B12" s="267"/>
      <c r="C12" s="302" t="s">
        <v>1</v>
      </c>
      <c r="D12" s="255"/>
      <c r="E12" s="269"/>
      <c r="F12" s="274" t="s">
        <v>155</v>
      </c>
      <c r="G12" s="274"/>
      <c r="H12" s="274"/>
      <c r="I12" s="275"/>
    </row>
    <row r="13" spans="1:10">
      <c r="B13" s="267" t="s">
        <v>14</v>
      </c>
      <c r="C13" s="302">
        <v>8</v>
      </c>
      <c r="D13" s="255" t="s">
        <v>9</v>
      </c>
      <c r="E13" s="305" t="s">
        <v>15</v>
      </c>
      <c r="F13" s="255" t="s">
        <v>1</v>
      </c>
    </row>
    <row r="14" spans="1:10">
      <c r="B14" s="267" t="s">
        <v>16</v>
      </c>
      <c r="C14" s="302">
        <v>2</v>
      </c>
      <c r="D14" s="255" t="s">
        <v>9</v>
      </c>
      <c r="E14" s="305" t="s">
        <v>17</v>
      </c>
      <c r="F14" s="255"/>
    </row>
    <row r="15" spans="1:10">
      <c r="B15" s="267"/>
      <c r="C15" s="302" t="s">
        <v>1</v>
      </c>
      <c r="D15" s="255" t="s">
        <v>1</v>
      </c>
      <c r="E15" s="269" t="s">
        <v>1</v>
      </c>
      <c r="F15" s="255"/>
    </row>
    <row r="16" spans="1:10">
      <c r="B16" s="267" t="s">
        <v>18</v>
      </c>
      <c r="C16" s="302">
        <v>0.35</v>
      </c>
      <c r="D16" s="255" t="s">
        <v>1</v>
      </c>
      <c r="E16" s="269"/>
      <c r="F16" s="255"/>
    </row>
    <row r="17" spans="2:6" ht="15.75" thickBot="1">
      <c r="B17" s="273" t="s">
        <v>19</v>
      </c>
      <c r="C17" s="303">
        <v>0.5</v>
      </c>
      <c r="D17" s="274"/>
      <c r="E17" s="275"/>
      <c r="F17" s="255"/>
    </row>
    <row r="18" spans="2:6">
      <c r="C18" s="1" t="s">
        <v>1</v>
      </c>
    </row>
    <row r="19" spans="2:6" ht="15.75" thickBot="1">
      <c r="B19" s="306" t="s">
        <v>20</v>
      </c>
      <c r="C19" s="1" t="s">
        <v>1</v>
      </c>
    </row>
    <row r="20" spans="2:6">
      <c r="B20" s="264" t="s">
        <v>21</v>
      </c>
      <c r="C20" s="301">
        <v>2500</v>
      </c>
      <c r="D20" s="266" t="s">
        <v>22</v>
      </c>
    </row>
    <row r="21" spans="2:6">
      <c r="B21" s="267" t="s">
        <v>23</v>
      </c>
      <c r="C21" s="302">
        <v>50000</v>
      </c>
      <c r="D21" s="269" t="s">
        <v>22</v>
      </c>
    </row>
    <row r="22" spans="2:6" ht="15.75" thickBot="1">
      <c r="B22" s="273" t="s">
        <v>24</v>
      </c>
      <c r="C22" s="303">
        <v>150</v>
      </c>
      <c r="D22" s="275" t="s">
        <v>3</v>
      </c>
    </row>
    <row r="23" spans="2:6">
      <c r="C23" s="256" t="s">
        <v>1</v>
      </c>
    </row>
    <row r="24" spans="2:6" ht="15.75" thickBot="1">
      <c r="B24" s="306" t="s">
        <v>25</v>
      </c>
    </row>
    <row r="25" spans="2:6">
      <c r="B25" s="264"/>
      <c r="C25" s="265"/>
      <c r="D25" s="265"/>
      <c r="E25" s="265"/>
      <c r="F25" s="266"/>
    </row>
    <row r="26" spans="2:6">
      <c r="B26" s="267" t="s">
        <v>26</v>
      </c>
      <c r="C26" s="262">
        <f>C13+C14</f>
        <v>10</v>
      </c>
      <c r="D26" s="255" t="str">
        <f>D14</f>
        <v>ft</v>
      </c>
      <c r="E26" s="255"/>
      <c r="F26" s="269"/>
    </row>
    <row r="27" spans="2:6">
      <c r="B27" s="267" t="s">
        <v>140</v>
      </c>
      <c r="C27" s="262"/>
      <c r="D27" s="255"/>
      <c r="E27" s="255"/>
      <c r="F27" s="269"/>
    </row>
    <row r="28" spans="2:6">
      <c r="B28" s="276" t="s">
        <v>27</v>
      </c>
      <c r="C28" s="262">
        <f>0.08*C26</f>
        <v>0.8</v>
      </c>
      <c r="D28" s="255" t="str">
        <f>D26</f>
        <v>ft</v>
      </c>
      <c r="E28" s="263">
        <v>1</v>
      </c>
      <c r="F28" s="277" t="s">
        <v>28</v>
      </c>
    </row>
    <row r="29" spans="2:6">
      <c r="B29" s="276" t="s">
        <v>29</v>
      </c>
      <c r="C29" s="262">
        <f>0.53*C26</f>
        <v>5.3000000000000007</v>
      </c>
      <c r="D29" s="255" t="str">
        <f>D26</f>
        <v>ft</v>
      </c>
      <c r="E29" s="263">
        <v>7</v>
      </c>
      <c r="F29" s="277" t="s">
        <v>30</v>
      </c>
    </row>
    <row r="30" spans="2:6">
      <c r="B30" s="276" t="s">
        <v>31</v>
      </c>
      <c r="C30" s="262">
        <f>0.17*C26</f>
        <v>1.7000000000000002</v>
      </c>
      <c r="D30" s="255" t="str">
        <f>D26</f>
        <v>ft</v>
      </c>
      <c r="E30" s="263">
        <v>1.25</v>
      </c>
      <c r="F30" s="277" t="s">
        <v>32</v>
      </c>
    </row>
    <row r="31" spans="2:6">
      <c r="B31" s="267" t="s">
        <v>33</v>
      </c>
      <c r="C31" s="262" t="s">
        <v>1</v>
      </c>
      <c r="D31" s="255"/>
      <c r="E31" s="263" t="s">
        <v>1</v>
      </c>
      <c r="F31" s="277" t="s">
        <v>1</v>
      </c>
    </row>
    <row r="32" spans="2:6">
      <c r="B32" s="276" t="s">
        <v>34</v>
      </c>
      <c r="C32" s="263">
        <v>8</v>
      </c>
      <c r="D32" s="255" t="s">
        <v>35</v>
      </c>
      <c r="E32" s="263">
        <v>8</v>
      </c>
      <c r="F32" s="277" t="s">
        <v>36</v>
      </c>
    </row>
    <row r="33" spans="2:15">
      <c r="B33" s="276" t="s">
        <v>37</v>
      </c>
      <c r="C33" s="262">
        <f>C32+0.25*(C26-E28)</f>
        <v>10.25</v>
      </c>
      <c r="D33" s="255" t="str">
        <f>D32</f>
        <v>in</v>
      </c>
      <c r="E33" s="263">
        <v>12</v>
      </c>
      <c r="F33" s="277" t="s">
        <v>38</v>
      </c>
    </row>
    <row r="34" spans="2:15">
      <c r="B34" s="278" t="s">
        <v>142</v>
      </c>
      <c r="C34" s="262"/>
      <c r="D34" s="255"/>
      <c r="E34" s="263"/>
      <c r="F34" s="277"/>
    </row>
    <row r="35" spans="2:15">
      <c r="B35" s="276" t="s">
        <v>141</v>
      </c>
      <c r="C35" s="262"/>
      <c r="D35" s="255" t="s">
        <v>9</v>
      </c>
      <c r="E35" s="263">
        <v>0.5</v>
      </c>
      <c r="F35" s="279" t="s">
        <v>143</v>
      </c>
    </row>
    <row r="36" spans="2:15" ht="15.75" thickBot="1">
      <c r="B36" s="280" t="s">
        <v>145</v>
      </c>
      <c r="C36" s="281"/>
      <c r="D36" s="274" t="s">
        <v>9</v>
      </c>
      <c r="E36" s="282">
        <v>1</v>
      </c>
      <c r="F36" s="283" t="s">
        <v>144</v>
      </c>
    </row>
    <row r="37" spans="2:15" ht="15.75" thickBot="1">
      <c r="B37" s="306" t="s">
        <v>154</v>
      </c>
    </row>
    <row r="38" spans="2:15">
      <c r="B38" s="264" t="str">
        <f>Sheet1!B62</f>
        <v>Safety against overturning</v>
      </c>
      <c r="C38" s="265"/>
      <c r="D38" s="265"/>
      <c r="E38" s="294">
        <f>Sheet1!E62</f>
        <v>2.4086337809917362</v>
      </c>
      <c r="F38" s="295" t="str">
        <f>Sheet1!F62</f>
        <v>&gt;</v>
      </c>
      <c r="G38" s="266">
        <f>Sheet1!G62</f>
        <v>2</v>
      </c>
    </row>
    <row r="39" spans="2:15">
      <c r="B39" s="267" t="str">
        <f>Sheet1!B63</f>
        <v>Base eccen.</v>
      </c>
      <c r="C39" s="255"/>
      <c r="D39" s="255"/>
      <c r="E39" s="296">
        <f>Sheet1!E63</f>
        <v>2.549754104491567</v>
      </c>
      <c r="F39" s="297" t="str">
        <f>Sheet1!F63</f>
        <v>&gt;</v>
      </c>
      <c r="G39" s="298">
        <f>Sheet1!G63</f>
        <v>2.3333333333333335</v>
      </c>
    </row>
    <row r="40" spans="2:15">
      <c r="B40" s="267"/>
      <c r="C40" s="255"/>
      <c r="D40" s="255"/>
      <c r="E40" s="255"/>
      <c r="F40" s="255"/>
      <c r="G40" s="269"/>
    </row>
    <row r="41" spans="2:15" ht="15.75" thickBot="1">
      <c r="B41" s="273" t="str">
        <f>Sheet1!B78</f>
        <v>SF against sliding</v>
      </c>
      <c r="C41" s="299">
        <f>Sheet1!C78</f>
        <v>1.7341604994270441</v>
      </c>
      <c r="D41" s="300" t="str">
        <f>Sheet1!D78</f>
        <v>&gt;</v>
      </c>
      <c r="E41" s="274">
        <f>Sheet1!E78</f>
        <v>1.5</v>
      </c>
      <c r="F41" s="274"/>
      <c r="G41" s="275"/>
    </row>
    <row r="42" spans="2:15" ht="15.75" thickBot="1">
      <c r="B42" s="306" t="s">
        <v>153</v>
      </c>
      <c r="C42" s="257" t="str">
        <f>Sheet1!C79</f>
        <v/>
      </c>
      <c r="D42" s="257" t="s">
        <v>1</v>
      </c>
      <c r="E42" s="257" t="s">
        <v>1</v>
      </c>
    </row>
    <row r="43" spans="2:15">
      <c r="B43" s="264" t="s">
        <v>1</v>
      </c>
      <c r="C43" s="265" t="str">
        <f>Sheet1!C101</f>
        <v>Mu</v>
      </c>
      <c r="D43" s="265" t="s">
        <v>1</v>
      </c>
      <c r="E43" s="265" t="str">
        <f>Sheet1!E101</f>
        <v>b</v>
      </c>
      <c r="F43" s="265" t="str">
        <f>Sheet1!F101</f>
        <v>h</v>
      </c>
      <c r="G43" s="265" t="str">
        <f>Sheet1!G101</f>
        <v>d</v>
      </c>
      <c r="H43" s="265" t="str">
        <f>Sheet1!H101</f>
        <v>Ru</v>
      </c>
      <c r="I43" s="265" t="str">
        <f>Sheet1!I101</f>
        <v>ro</v>
      </c>
      <c r="J43" s="265" t="str">
        <f>Sheet1!J101</f>
        <v>Ru(psi)</v>
      </c>
      <c r="K43" s="265" t="str">
        <f>Sheet1!K101</f>
        <v>As(sqin)</v>
      </c>
      <c r="L43" s="265" t="str">
        <f>Sheet1!L101</f>
        <v>Asmin</v>
      </c>
      <c r="M43" s="265" t="str">
        <f>Sheet1!M101</f>
        <v>db(in)</v>
      </c>
      <c r="N43" s="265" t="str">
        <f>Sheet1!N101</f>
        <v>spc(in)</v>
      </c>
      <c r="O43" s="266"/>
    </row>
    <row r="44" spans="2:15">
      <c r="B44" s="267" t="str">
        <f>Sheet1!B102</f>
        <v>Stem</v>
      </c>
      <c r="C44" s="262">
        <f>Sheet1!C102</f>
        <v>17777.777777777777</v>
      </c>
      <c r="D44" s="262" t="str">
        <f>Sheet1!D102</f>
        <v>lb-ft</v>
      </c>
      <c r="E44" s="262">
        <f>Sheet1!E102</f>
        <v>12</v>
      </c>
      <c r="F44" s="262">
        <f>Sheet1!F102</f>
        <v>12</v>
      </c>
      <c r="G44" s="262">
        <f>Sheet1!G102</f>
        <v>9.5</v>
      </c>
      <c r="H44" s="262">
        <f>Sheet1!H102</f>
        <v>196.98368728839642</v>
      </c>
      <c r="I44" s="284">
        <v>5.0000000000000001E-3</v>
      </c>
      <c r="J44" s="262">
        <f>Sheet1!J102</f>
        <v>200.00000000000003</v>
      </c>
      <c r="K44" s="285">
        <f>Sheet1!K102</f>
        <v>0.56999999999999995</v>
      </c>
      <c r="L44" s="285">
        <f>Sheet1!L102</f>
        <v>0.21600000000000003</v>
      </c>
      <c r="M44" s="286">
        <v>0.75</v>
      </c>
      <c r="N44" s="287">
        <f>Sheet1!N102</f>
        <v>9.3007677244434674</v>
      </c>
      <c r="O44" s="288" t="s">
        <v>39</v>
      </c>
    </row>
    <row r="45" spans="2:15">
      <c r="B45" s="267" t="str">
        <f>Sheet1!B103</f>
        <v>Toe</v>
      </c>
      <c r="C45" s="262">
        <f>Sheet1!C103</f>
        <v>2278.0309817379334</v>
      </c>
      <c r="D45" s="262" t="str">
        <f>Sheet1!D103</f>
        <v>lb-ft</v>
      </c>
      <c r="E45" s="262">
        <f>Sheet1!E103</f>
        <v>12</v>
      </c>
      <c r="F45" s="262">
        <f>Sheet1!F103</f>
        <v>12</v>
      </c>
      <c r="G45" s="262">
        <f>Sheet1!G103</f>
        <v>9.5</v>
      </c>
      <c r="H45" s="262">
        <f>Sheet1!H103</f>
        <v>25.241340517871837</v>
      </c>
      <c r="I45" s="284">
        <v>1E-3</v>
      </c>
      <c r="J45" s="262">
        <f>Sheet1!J103</f>
        <v>42</v>
      </c>
      <c r="K45" s="285">
        <f>Sheet1!K103</f>
        <v>0.114</v>
      </c>
      <c r="L45" s="285">
        <f>Sheet1!L103</f>
        <v>0.21600000000000003</v>
      </c>
      <c r="M45" s="286">
        <v>0.5</v>
      </c>
      <c r="N45" s="287">
        <f>Sheet1!N103</f>
        <v>10.90830782496456</v>
      </c>
      <c r="O45" s="288" t="s">
        <v>40</v>
      </c>
    </row>
    <row r="46" spans="2:15">
      <c r="B46" s="267" t="str">
        <f>Sheet1!B104</f>
        <v>Heel</v>
      </c>
      <c r="C46" s="262">
        <f>Sheet1!C104</f>
        <v>15940.406249999998</v>
      </c>
      <c r="D46" s="262" t="str">
        <f>Sheet1!D104</f>
        <v>lb-ft</v>
      </c>
      <c r="E46" s="262">
        <f>Sheet1!E104</f>
        <v>12</v>
      </c>
      <c r="F46" s="262">
        <f>Sheet1!F104</f>
        <v>12</v>
      </c>
      <c r="G46" s="262">
        <f>Sheet1!G104</f>
        <v>9.5</v>
      </c>
      <c r="H46" s="262">
        <f>Sheet1!H104</f>
        <v>176.62499999999997</v>
      </c>
      <c r="I46" s="284">
        <v>5.0000000000000001E-3</v>
      </c>
      <c r="J46" s="262">
        <f>Sheet1!J104</f>
        <v>200.00000000000003</v>
      </c>
      <c r="K46" s="285">
        <f>Sheet1!K104</f>
        <v>0.56999999999999995</v>
      </c>
      <c r="L46" s="285">
        <f>Sheet1!L104</f>
        <v>0.21600000000000003</v>
      </c>
      <c r="M46" s="286">
        <v>0.625</v>
      </c>
      <c r="N46" s="287">
        <f>Sheet1!N104</f>
        <v>6.4588664753079641</v>
      </c>
      <c r="O46" s="288" t="s">
        <v>41</v>
      </c>
    </row>
    <row r="47" spans="2:15">
      <c r="B47" s="267" t="s">
        <v>1</v>
      </c>
      <c r="C47" s="255" t="s">
        <v>1</v>
      </c>
      <c r="D47" s="255" t="s">
        <v>1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69"/>
    </row>
    <row r="48" spans="2:15">
      <c r="B48" s="267" t="str">
        <f>Sheet1!B106</f>
        <v>Distribution bars</v>
      </c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69"/>
    </row>
    <row r="49" spans="2:15">
      <c r="B49" s="267"/>
      <c r="C49" s="255" t="str">
        <f>Sheet1!C107</f>
        <v>h</v>
      </c>
      <c r="D49" s="255" t="str">
        <f>Sheet1!D107</f>
        <v>Asmin</v>
      </c>
      <c r="E49" s="255" t="str">
        <f>Sheet1!E107</f>
        <v>0.5As</v>
      </c>
      <c r="F49" s="255" t="str">
        <f>Sheet1!F107</f>
        <v>db</v>
      </c>
      <c r="G49" s="255" t="str">
        <f>Sheet1!G107</f>
        <v>spc(in)</v>
      </c>
      <c r="H49" s="255"/>
      <c r="I49" s="255"/>
      <c r="J49" s="255"/>
      <c r="K49" s="255"/>
      <c r="L49" s="255"/>
      <c r="M49" s="255"/>
      <c r="N49" s="255"/>
      <c r="O49" s="269"/>
    </row>
    <row r="50" spans="2:15">
      <c r="B50" s="267" t="str">
        <f>Sheet1!B108</f>
        <v>Stem</v>
      </c>
      <c r="C50" s="255">
        <f>Sheet1!C108</f>
        <v>12</v>
      </c>
      <c r="D50" s="285">
        <f>Sheet1!D108</f>
        <v>0.28800000000000003</v>
      </c>
      <c r="E50" s="285">
        <f>Sheet1!E108</f>
        <v>0.28499999999999998</v>
      </c>
      <c r="F50" s="286">
        <v>0.5</v>
      </c>
      <c r="G50" s="287">
        <f>Sheet1!G108</f>
        <v>8.1812308687234179</v>
      </c>
      <c r="H50" s="289" t="s">
        <v>42</v>
      </c>
      <c r="I50" s="255"/>
      <c r="J50" s="255"/>
      <c r="K50" s="255"/>
      <c r="L50" s="255"/>
      <c r="M50" s="255"/>
      <c r="N50" s="255"/>
      <c r="O50" s="269"/>
    </row>
    <row r="51" spans="2:15">
      <c r="B51" s="267" t="str">
        <f>Sheet1!B109</f>
        <v>Toe</v>
      </c>
      <c r="C51" s="255">
        <f>Sheet1!C109</f>
        <v>12</v>
      </c>
      <c r="D51" s="285">
        <f>Sheet1!D109</f>
        <v>0.28800000000000003</v>
      </c>
      <c r="E51" s="285">
        <f>Sheet1!E109</f>
        <v>5.7000000000000002E-2</v>
      </c>
      <c r="F51" s="286">
        <v>0.5</v>
      </c>
      <c r="G51" s="287">
        <f>Sheet1!G109</f>
        <v>8.1812308687234179</v>
      </c>
      <c r="H51" s="289" t="s">
        <v>43</v>
      </c>
      <c r="I51" s="255"/>
      <c r="J51" s="255"/>
      <c r="K51" s="255"/>
      <c r="L51" s="255"/>
      <c r="M51" s="255"/>
      <c r="N51" s="255"/>
      <c r="O51" s="269"/>
    </row>
    <row r="52" spans="2:15" ht="15.75" thickBot="1">
      <c r="B52" s="273" t="str">
        <f>Sheet1!B110</f>
        <v>Heel</v>
      </c>
      <c r="C52" s="274">
        <f>Sheet1!C110</f>
        <v>12</v>
      </c>
      <c r="D52" s="290">
        <f>Sheet1!D110</f>
        <v>0.28800000000000003</v>
      </c>
      <c r="E52" s="290">
        <f>Sheet1!E110</f>
        <v>0.28499999999999998</v>
      </c>
      <c r="F52" s="291">
        <v>0.5</v>
      </c>
      <c r="G52" s="292">
        <f>Sheet1!G110</f>
        <v>8.1812308687234179</v>
      </c>
      <c r="H52" s="293" t="s">
        <v>44</v>
      </c>
      <c r="I52" s="274"/>
      <c r="J52" s="274"/>
      <c r="K52" s="274"/>
      <c r="L52" s="274"/>
      <c r="M52" s="274"/>
      <c r="N52" s="274"/>
      <c r="O52" s="275"/>
    </row>
  </sheetData>
  <sheetProtection password="CC88" sheet="1" objects="1" scenarios="1" selectLockedCells="1"/>
  <mergeCells count="1">
    <mergeCell ref="F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61" workbookViewId="0">
      <selection activeCell="C74" sqref="C74"/>
    </sheetView>
  </sheetViews>
  <sheetFormatPr defaultRowHeight="15"/>
  <cols>
    <col min="1" max="1" width="9.140625" style="4"/>
    <col min="2" max="2" width="16" style="4" customWidth="1"/>
    <col min="3" max="3" width="8.5703125" style="4" customWidth="1"/>
    <col min="4" max="4" width="8" style="4" customWidth="1"/>
    <col min="5" max="5" width="11.7109375" style="5" bestFit="1" customWidth="1"/>
    <col min="6" max="8" width="9.140625" style="4"/>
    <col min="9" max="10" width="8" style="4" customWidth="1"/>
    <col min="11" max="16384" width="9.140625" style="4"/>
  </cols>
  <sheetData>
    <row r="1" spans="1:6" ht="21">
      <c r="A1" s="2" t="s">
        <v>121</v>
      </c>
      <c r="B1" s="3" t="s">
        <v>45</v>
      </c>
      <c r="E1" s="5" t="s">
        <v>1</v>
      </c>
    </row>
    <row r="2" spans="1:6" ht="15.75">
      <c r="A2" s="6" t="s">
        <v>122</v>
      </c>
      <c r="B2" s="7"/>
    </row>
    <row r="3" spans="1:6">
      <c r="A3" s="8"/>
      <c r="B3" s="9" t="s">
        <v>0</v>
      </c>
    </row>
    <row r="4" spans="1:6">
      <c r="C4" s="10"/>
    </row>
    <row r="5" spans="1:6">
      <c r="A5" s="11"/>
      <c r="B5" s="4" t="s">
        <v>46</v>
      </c>
      <c r="C5" s="12">
        <f>Input!C6</f>
        <v>110</v>
      </c>
      <c r="D5" s="13" t="s">
        <v>3</v>
      </c>
      <c r="F5" s="14" t="s">
        <v>1</v>
      </c>
    </row>
    <row r="6" spans="1:6">
      <c r="A6" s="15"/>
      <c r="B6" s="4" t="s">
        <v>4</v>
      </c>
      <c r="C6" s="12">
        <f>Input!C7</f>
        <v>30</v>
      </c>
      <c r="D6" s="16" t="s">
        <v>5</v>
      </c>
    </row>
    <row r="7" spans="1:6">
      <c r="C7" s="12" t="s">
        <v>1</v>
      </c>
    </row>
    <row r="8" spans="1:6">
      <c r="A8" s="17"/>
      <c r="B8" s="4" t="s">
        <v>8</v>
      </c>
      <c r="C8" s="12">
        <f>Input!C9</f>
        <v>0</v>
      </c>
      <c r="D8" s="18" t="s">
        <v>9</v>
      </c>
    </row>
    <row r="9" spans="1:6">
      <c r="C9" s="12" t="s">
        <v>1</v>
      </c>
    </row>
    <row r="10" spans="1:6">
      <c r="A10" s="19"/>
      <c r="B10" s="4" t="s">
        <v>12</v>
      </c>
      <c r="C10" s="12">
        <f>Input!C11</f>
        <v>300</v>
      </c>
      <c r="D10" s="20" t="s">
        <v>13</v>
      </c>
    </row>
    <row r="11" spans="1:6">
      <c r="C11" s="12" t="s">
        <v>1</v>
      </c>
    </row>
    <row r="12" spans="1:6">
      <c r="A12" s="21"/>
      <c r="B12" s="4" t="s">
        <v>14</v>
      </c>
      <c r="C12" s="12">
        <f>Input!C13</f>
        <v>8</v>
      </c>
      <c r="D12" s="22" t="s">
        <v>9</v>
      </c>
      <c r="E12" s="23" t="s">
        <v>15</v>
      </c>
    </row>
    <row r="13" spans="1:6">
      <c r="A13" s="24"/>
      <c r="B13" s="4" t="s">
        <v>16</v>
      </c>
      <c r="C13" s="12">
        <f>Input!C14</f>
        <v>2</v>
      </c>
      <c r="D13" s="25" t="s">
        <v>9</v>
      </c>
      <c r="E13" s="26" t="s">
        <v>17</v>
      </c>
    </row>
    <row r="14" spans="1:6">
      <c r="C14" s="12" t="s">
        <v>1</v>
      </c>
      <c r="D14" s="25"/>
      <c r="E14" s="27"/>
    </row>
    <row r="15" spans="1:6">
      <c r="A15" s="28"/>
      <c r="B15" s="4" t="s">
        <v>18</v>
      </c>
      <c r="C15" s="12">
        <f>Input!C16</f>
        <v>0.35</v>
      </c>
      <c r="D15" s="25"/>
      <c r="E15" s="4"/>
    </row>
    <row r="16" spans="1:6">
      <c r="A16" s="29"/>
      <c r="B16" s="4" t="s">
        <v>19</v>
      </c>
      <c r="C16" s="12">
        <f>Input!C17</f>
        <v>0.5</v>
      </c>
      <c r="E16" s="30" t="s">
        <v>1</v>
      </c>
    </row>
    <row r="17" spans="1:7">
      <c r="C17" s="12" t="s">
        <v>1</v>
      </c>
      <c r="E17" s="4"/>
    </row>
    <row r="18" spans="1:7">
      <c r="A18" s="31"/>
      <c r="B18" s="9" t="s">
        <v>20</v>
      </c>
      <c r="C18" s="12" t="s">
        <v>1</v>
      </c>
      <c r="E18" s="4"/>
    </row>
    <row r="19" spans="1:7">
      <c r="A19" s="32"/>
      <c r="B19" s="4" t="s">
        <v>21</v>
      </c>
      <c r="C19" s="12">
        <f>Input!C20</f>
        <v>2500</v>
      </c>
      <c r="D19" s="33" t="s">
        <v>22</v>
      </c>
      <c r="E19" s="4"/>
    </row>
    <row r="20" spans="1:7">
      <c r="A20" s="34"/>
      <c r="B20" s="4" t="s">
        <v>23</v>
      </c>
      <c r="C20" s="12">
        <f>Input!C21</f>
        <v>50000</v>
      </c>
      <c r="D20" s="35" t="s">
        <v>22</v>
      </c>
      <c r="E20" s="4"/>
    </row>
    <row r="21" spans="1:7">
      <c r="A21" s="36"/>
      <c r="B21" s="4" t="s">
        <v>24</v>
      </c>
      <c r="C21" s="12">
        <f>Input!C22</f>
        <v>150</v>
      </c>
      <c r="D21" s="35" t="s">
        <v>3</v>
      </c>
      <c r="E21" s="4"/>
    </row>
    <row r="22" spans="1:7">
      <c r="C22" s="12" t="s">
        <v>1</v>
      </c>
      <c r="E22" s="4"/>
    </row>
    <row r="23" spans="1:7">
      <c r="A23" s="37"/>
      <c r="B23" s="9" t="s">
        <v>25</v>
      </c>
    </row>
    <row r="25" spans="1:7">
      <c r="A25" s="38"/>
      <c r="B25" s="4" t="s">
        <v>26</v>
      </c>
      <c r="C25" s="39">
        <f>C12+C13</f>
        <v>10</v>
      </c>
      <c r="D25" s="40" t="str">
        <f>D13</f>
        <v>ft</v>
      </c>
      <c r="F25" s="41"/>
    </row>
    <row r="26" spans="1:7">
      <c r="A26" s="42"/>
      <c r="B26" s="4" t="s">
        <v>27</v>
      </c>
      <c r="C26" s="43">
        <f>0.08*C25</f>
        <v>0.8</v>
      </c>
      <c r="D26" s="44" t="str">
        <f>D25</f>
        <v>ft</v>
      </c>
      <c r="E26" s="45">
        <f>Input!E28</f>
        <v>1</v>
      </c>
      <c r="F26" s="46" t="s">
        <v>28</v>
      </c>
      <c r="G26" s="47"/>
    </row>
    <row r="27" spans="1:7">
      <c r="A27" s="48"/>
      <c r="B27" s="4" t="s">
        <v>29</v>
      </c>
      <c r="C27" s="49">
        <f>0.53*C25</f>
        <v>5.3000000000000007</v>
      </c>
      <c r="D27" s="50" t="str">
        <f>D25</f>
        <v>ft</v>
      </c>
      <c r="E27" s="51">
        <f>Input!E29</f>
        <v>7</v>
      </c>
      <c r="F27" s="52" t="s">
        <v>30</v>
      </c>
      <c r="G27" s="53"/>
    </row>
    <row r="28" spans="1:7">
      <c r="A28" s="54"/>
      <c r="B28" s="4" t="s">
        <v>31</v>
      </c>
      <c r="C28" s="49">
        <f>0.17*C25</f>
        <v>1.7000000000000002</v>
      </c>
      <c r="D28" s="50" t="str">
        <f>D25</f>
        <v>ft</v>
      </c>
      <c r="E28" s="55">
        <f>Input!E30</f>
        <v>1.25</v>
      </c>
      <c r="F28" s="56" t="s">
        <v>32</v>
      </c>
      <c r="G28" s="57"/>
    </row>
    <row r="29" spans="1:7">
      <c r="A29" s="58"/>
      <c r="B29" s="4" t="s">
        <v>33</v>
      </c>
      <c r="C29" s="59" t="s">
        <v>1</v>
      </c>
      <c r="E29" s="60" t="s">
        <v>1</v>
      </c>
      <c r="F29" s="61"/>
      <c r="G29" s="62"/>
    </row>
    <row r="30" spans="1:7">
      <c r="A30" s="63"/>
      <c r="B30" s="4" t="s">
        <v>34</v>
      </c>
      <c r="C30" s="64"/>
      <c r="D30" s="65" t="s">
        <v>35</v>
      </c>
      <c r="E30" s="66">
        <f>Input!E32</f>
        <v>8</v>
      </c>
      <c r="F30" s="67" t="s">
        <v>36</v>
      </c>
      <c r="G30" s="68"/>
    </row>
    <row r="31" spans="1:7">
      <c r="A31" s="69"/>
      <c r="B31" s="4" t="s">
        <v>37</v>
      </c>
      <c r="C31" s="70"/>
      <c r="D31" s="71" t="str">
        <f>D30</f>
        <v>in</v>
      </c>
      <c r="E31" s="72">
        <f>Input!E33</f>
        <v>12</v>
      </c>
      <c r="F31" s="73" t="s">
        <v>38</v>
      </c>
      <c r="G31" s="74"/>
    </row>
    <row r="32" spans="1:7">
      <c r="A32" s="255"/>
      <c r="B32" s="4" t="s">
        <v>141</v>
      </c>
      <c r="C32" s="262"/>
      <c r="D32" s="255" t="str">
        <f>Input!D35</f>
        <v>ft</v>
      </c>
      <c r="E32" s="72">
        <f>Input!E35</f>
        <v>0.5</v>
      </c>
      <c r="F32" s="255" t="str">
        <f>Input!F35</f>
        <v>Dk</v>
      </c>
      <c r="G32" s="255"/>
    </row>
    <row r="33" spans="1:7">
      <c r="A33" s="255"/>
      <c r="B33" s="4" t="s">
        <v>145</v>
      </c>
      <c r="C33" s="262"/>
      <c r="D33" s="255" t="str">
        <f>Input!D36</f>
        <v>ft</v>
      </c>
      <c r="E33" s="72">
        <f>Input!E36</f>
        <v>1</v>
      </c>
      <c r="F33" s="255" t="str">
        <f>Input!F36</f>
        <v>Tk</v>
      </c>
      <c r="G33" s="255"/>
    </row>
    <row r="34" spans="1:7">
      <c r="B34" s="75"/>
      <c r="C34" s="76" t="s">
        <v>1</v>
      </c>
      <c r="D34" s="77"/>
      <c r="E34" s="78"/>
      <c r="F34" s="79"/>
    </row>
    <row r="35" spans="1:7">
      <c r="B35" s="9" t="s">
        <v>47</v>
      </c>
      <c r="C35" s="59" t="s">
        <v>1</v>
      </c>
    </row>
    <row r="36" spans="1:7">
      <c r="B36" s="4" t="s">
        <v>48</v>
      </c>
      <c r="C36" s="80">
        <f>(1-SIN(C6*PI()/180))/(1+SIN(C6*PI()/180))</f>
        <v>0.33333333333333331</v>
      </c>
      <c r="F36" s="81" t="s">
        <v>1</v>
      </c>
    </row>
    <row r="37" spans="1:7">
      <c r="B37" s="4" t="s">
        <v>49</v>
      </c>
      <c r="C37" s="82">
        <f>1/C36</f>
        <v>3</v>
      </c>
    </row>
    <row r="38" spans="1:7">
      <c r="B38" s="4" t="s">
        <v>50</v>
      </c>
      <c r="C38" s="83">
        <f>C10/C5</f>
        <v>2.7272727272727271</v>
      </c>
      <c r="D38" s="84" t="s">
        <v>9</v>
      </c>
    </row>
    <row r="39" spans="1:7">
      <c r="C39" s="59" t="s">
        <v>1</v>
      </c>
    </row>
    <row r="40" spans="1:7">
      <c r="B40" s="9" t="s">
        <v>51</v>
      </c>
      <c r="C40" s="85" t="s">
        <v>1</v>
      </c>
    </row>
    <row r="41" spans="1:7">
      <c r="B41" s="86" t="s">
        <v>52</v>
      </c>
      <c r="C41" s="87">
        <f>C36*C5*C38</f>
        <v>99.999999999999986</v>
      </c>
      <c r="D41" s="88" t="s">
        <v>53</v>
      </c>
    </row>
    <row r="42" spans="1:7">
      <c r="B42" s="4" t="s">
        <v>54</v>
      </c>
      <c r="C42" s="89">
        <f>+C36*C5*C25</f>
        <v>366.66666666666663</v>
      </c>
      <c r="D42" s="90" t="s">
        <v>53</v>
      </c>
    </row>
    <row r="43" spans="1:7">
      <c r="B43" s="4" t="s">
        <v>55</v>
      </c>
      <c r="C43" s="91">
        <f>C36*C5*(C25+E26)</f>
        <v>403.33333333333331</v>
      </c>
      <c r="D43" s="92" t="s">
        <v>53</v>
      </c>
    </row>
    <row r="45" spans="1:7">
      <c r="B45" s="9" t="s">
        <v>56</v>
      </c>
      <c r="C45" s="93" t="s">
        <v>57</v>
      </c>
      <c r="D45" s="94" t="s">
        <v>58</v>
      </c>
      <c r="E45" s="95" t="s">
        <v>59</v>
      </c>
    </row>
    <row r="46" spans="1:7">
      <c r="B46" s="4" t="s">
        <v>60</v>
      </c>
      <c r="C46" s="96">
        <f>C41*(C25+E26)</f>
        <v>1099.9999999999998</v>
      </c>
      <c r="D46" s="97">
        <f>(C25+E26)/2</f>
        <v>5.5</v>
      </c>
      <c r="E46" s="98">
        <f>C46*D46</f>
        <v>6049.9999999999991</v>
      </c>
      <c r="F46" s="99" t="s">
        <v>1</v>
      </c>
    </row>
    <row r="47" spans="1:7">
      <c r="B47" s="4" t="s">
        <v>61</v>
      </c>
      <c r="C47" s="100">
        <f>C42*(C25+E26)/2</f>
        <v>2016.6666666666665</v>
      </c>
      <c r="D47" s="101">
        <f>(C25+E26)/3</f>
        <v>3.6666666666666665</v>
      </c>
      <c r="E47" s="98">
        <f>C47*D47</f>
        <v>7394.4444444444434</v>
      </c>
      <c r="F47" s="99" t="s">
        <v>1</v>
      </c>
    </row>
    <row r="48" spans="1:7">
      <c r="C48" s="100" t="s">
        <v>1</v>
      </c>
      <c r="D48" s="101" t="s">
        <v>1</v>
      </c>
      <c r="E48" s="98" t="s">
        <v>1</v>
      </c>
      <c r="F48" s="99" t="s">
        <v>1</v>
      </c>
    </row>
    <row r="49" spans="2:7">
      <c r="B49" s="4" t="s">
        <v>62</v>
      </c>
      <c r="C49" s="100">
        <f>SUM(C46:C47)</f>
        <v>3116.6666666666661</v>
      </c>
      <c r="D49" s="101" t="s">
        <v>1</v>
      </c>
      <c r="E49" s="102">
        <f>SUM(E46:E47)</f>
        <v>13444.444444444442</v>
      </c>
      <c r="F49" s="99" t="s">
        <v>1</v>
      </c>
    </row>
    <row r="50" spans="2:7">
      <c r="C50" s="99" t="s">
        <v>1</v>
      </c>
      <c r="D50" s="99" t="s">
        <v>1</v>
      </c>
      <c r="E50" s="99" t="s">
        <v>1</v>
      </c>
      <c r="F50" s="99" t="s">
        <v>1</v>
      </c>
    </row>
    <row r="51" spans="2:7">
      <c r="C51" s="99"/>
      <c r="D51" s="99"/>
      <c r="E51" s="99"/>
      <c r="F51" s="99"/>
    </row>
    <row r="52" spans="2:7">
      <c r="B52" s="9" t="s">
        <v>63</v>
      </c>
      <c r="C52" s="103" t="s">
        <v>64</v>
      </c>
      <c r="D52" s="104" t="s">
        <v>58</v>
      </c>
      <c r="E52" s="105" t="s">
        <v>65</v>
      </c>
    </row>
    <row r="53" spans="2:7">
      <c r="B53" s="4" t="s">
        <v>66</v>
      </c>
      <c r="C53" s="106">
        <f>(C25)*C30/12*C21</f>
        <v>0</v>
      </c>
      <c r="D53" s="107">
        <f>E28+E31/12-C30/12/2</f>
        <v>2.25</v>
      </c>
      <c r="E53" s="108">
        <f>C53*D53</f>
        <v>0</v>
      </c>
    </row>
    <row r="54" spans="2:7">
      <c r="B54" s="4" t="s">
        <v>67</v>
      </c>
      <c r="C54" s="109">
        <f>(C25)*(E31-E30)/12*C21/2</f>
        <v>250</v>
      </c>
      <c r="D54" s="110">
        <f>E28+(E31-E30)/12*2/3</f>
        <v>1.4722222222222223</v>
      </c>
      <c r="E54" s="111">
        <f>C54*D54</f>
        <v>368.0555555555556</v>
      </c>
      <c r="F54" s="112"/>
    </row>
    <row r="55" spans="2:7">
      <c r="B55" s="4" t="s">
        <v>68</v>
      </c>
      <c r="C55" s="113">
        <f>E27*E26*C21</f>
        <v>1050</v>
      </c>
      <c r="D55" s="114">
        <f>E27/2</f>
        <v>3.5</v>
      </c>
      <c r="E55" s="108">
        <f>C55*D55</f>
        <v>3675</v>
      </c>
      <c r="F55" s="115"/>
    </row>
    <row r="56" spans="2:7">
      <c r="B56" s="4" t="s">
        <v>69</v>
      </c>
      <c r="C56" s="116">
        <f>(E27-(E28+E31/12))*(C25-E26+C38)*C5</f>
        <v>6127.5</v>
      </c>
      <c r="D56" s="117">
        <f>(E28+E31/12+E27)/2</f>
        <v>4.625</v>
      </c>
      <c r="E56" s="108">
        <f>C56*D56</f>
        <v>28339.6875</v>
      </c>
    </row>
    <row r="57" spans="2:7">
      <c r="C57" s="59" t="s">
        <v>1</v>
      </c>
      <c r="D57" s="59" t="s">
        <v>1</v>
      </c>
      <c r="E57" s="59" t="s">
        <v>1</v>
      </c>
    </row>
    <row r="58" spans="2:7">
      <c r="B58" s="4" t="s">
        <v>62</v>
      </c>
      <c r="C58" s="118">
        <f>SUM(C53:C56)</f>
        <v>7427.5</v>
      </c>
      <c r="D58" s="59" t="s">
        <v>1</v>
      </c>
      <c r="E58" s="119">
        <f>SUM(E53:E56)</f>
        <v>32382.743055555555</v>
      </c>
    </row>
    <row r="60" spans="2:7">
      <c r="B60" s="120" t="s">
        <v>70</v>
      </c>
    </row>
    <row r="62" spans="2:7">
      <c r="B62" s="4" t="s">
        <v>71</v>
      </c>
      <c r="E62" s="121">
        <f>E58/E49</f>
        <v>2.4086337809917362</v>
      </c>
      <c r="F62" s="122" t="s">
        <v>72</v>
      </c>
      <c r="G62" s="123">
        <v>2</v>
      </c>
    </row>
    <row r="63" spans="2:7">
      <c r="B63" s="4" t="s">
        <v>73</v>
      </c>
      <c r="E63" s="124">
        <f>(E58-E49)/C58</f>
        <v>2.549754104491567</v>
      </c>
      <c r="F63" s="125" t="s">
        <v>72</v>
      </c>
      <c r="G63" s="126">
        <f>E27/3</f>
        <v>2.3333333333333335</v>
      </c>
    </row>
    <row r="65" spans="2:6">
      <c r="B65" s="127" t="s">
        <v>74</v>
      </c>
    </row>
    <row r="66" spans="2:6">
      <c r="B66" s="4" t="s">
        <v>75</v>
      </c>
      <c r="C66" s="128">
        <f>E27^3/12</f>
        <v>28.583333333333332</v>
      </c>
      <c r="D66" s="129" t="s">
        <v>76</v>
      </c>
    </row>
    <row r="67" spans="2:6">
      <c r="B67" s="4" t="s">
        <v>77</v>
      </c>
      <c r="C67" s="128">
        <f>E27/2-E63</f>
        <v>0.95024589550843297</v>
      </c>
      <c r="D67" s="129" t="s">
        <v>9</v>
      </c>
      <c r="E67" s="4"/>
      <c r="F67" s="130" t="s">
        <v>1</v>
      </c>
    </row>
    <row r="68" spans="2:6">
      <c r="B68" s="4" t="s">
        <v>78</v>
      </c>
      <c r="C68" s="131">
        <f>C58/E27+C58*E27/2*C67/C66</f>
        <v>1925.3103741496598</v>
      </c>
      <c r="D68" s="132" t="s">
        <v>79</v>
      </c>
      <c r="E68" s="133" t="s">
        <v>80</v>
      </c>
    </row>
    <row r="69" spans="2:6">
      <c r="B69" s="4" t="s">
        <v>81</v>
      </c>
      <c r="C69" s="134">
        <f>C58/E27-C58*E27/2*C67/C66</f>
        <v>196.83248299319769</v>
      </c>
      <c r="D69" s="135" t="s">
        <v>72</v>
      </c>
      <c r="E69" s="136">
        <v>0</v>
      </c>
    </row>
    <row r="70" spans="2:6">
      <c r="C70" s="59" t="s">
        <v>1</v>
      </c>
    </row>
    <row r="71" spans="2:6">
      <c r="B71" s="4" t="s">
        <v>82</v>
      </c>
      <c r="C71" s="137">
        <f>C49</f>
        <v>3116.6666666666661</v>
      </c>
      <c r="D71" s="138" t="s">
        <v>83</v>
      </c>
    </row>
    <row r="72" spans="2:6">
      <c r="B72" s="4" t="s">
        <v>84</v>
      </c>
      <c r="C72" s="139"/>
      <c r="D72" s="140"/>
    </row>
    <row r="73" spans="2:6">
      <c r="B73" s="4" t="s">
        <v>146</v>
      </c>
      <c r="C73" s="262">
        <f>C37*(C13+E26+E32)^2*C5/2</f>
        <v>2021.25</v>
      </c>
      <c r="D73" s="255" t="s">
        <v>83</v>
      </c>
    </row>
    <row r="74" spans="2:6">
      <c r="B74" s="4" t="s">
        <v>147</v>
      </c>
      <c r="C74" s="262">
        <f>(C68+(C68+C69)/2)/2*IF(E32&gt;0, C16,C15)*E27/2</f>
        <v>2613.0840773809523</v>
      </c>
      <c r="D74" s="255"/>
    </row>
    <row r="75" spans="2:6">
      <c r="B75" s="4" t="s">
        <v>148</v>
      </c>
      <c r="C75" s="262">
        <f>(C69+(C68+C69)/2)/2*C15*E27/2</f>
        <v>770.46614583333371</v>
      </c>
      <c r="D75" s="255"/>
    </row>
    <row r="76" spans="2:6">
      <c r="C76" s="262">
        <f>SUM(C73:C75)</f>
        <v>5404.8002232142862</v>
      </c>
      <c r="D76" s="255"/>
    </row>
    <row r="77" spans="2:6">
      <c r="C77" s="262"/>
      <c r="D77" s="255"/>
    </row>
    <row r="78" spans="2:6">
      <c r="B78" s="127" t="s">
        <v>85</v>
      </c>
      <c r="C78" s="141">
        <f>C76/C71</f>
        <v>1.7341604994270441</v>
      </c>
      <c r="D78" s="142" t="s">
        <v>72</v>
      </c>
      <c r="E78" s="143">
        <v>1.5</v>
      </c>
    </row>
    <row r="79" spans="2:6">
      <c r="C79" s="59" t="s">
        <v>1</v>
      </c>
    </row>
    <row r="82" spans="2:11">
      <c r="B82" s="9" t="s">
        <v>86</v>
      </c>
    </row>
    <row r="84" spans="2:11">
      <c r="B84" s="4" t="s">
        <v>87</v>
      </c>
      <c r="C84" s="144">
        <v>1.6</v>
      </c>
      <c r="D84" s="145"/>
      <c r="G84" s="146"/>
      <c r="H84" s="147"/>
      <c r="I84" s="148"/>
    </row>
    <row r="85" spans="2:11">
      <c r="B85" s="4" t="s">
        <v>88</v>
      </c>
      <c r="C85" s="149">
        <f>$C$84*$C$5*$C$38*$C$36</f>
        <v>159.99999999999997</v>
      </c>
      <c r="D85" s="150" t="s">
        <v>1</v>
      </c>
      <c r="E85" s="151" t="s">
        <v>1</v>
      </c>
      <c r="F85" s="152" t="s">
        <v>1</v>
      </c>
      <c r="G85" s="149">
        <f>$C$84*$C$5*$C$38*$C$36</f>
        <v>159.99999999999997</v>
      </c>
      <c r="H85" s="150" t="s">
        <v>1</v>
      </c>
      <c r="I85" s="151" t="s">
        <v>1</v>
      </c>
      <c r="J85" s="153"/>
    </row>
    <row r="86" spans="2:11">
      <c r="B86" s="4" t="s">
        <v>89</v>
      </c>
      <c r="C86" s="154">
        <f>$C$84*$C$5*(D86)*$C$36</f>
        <v>586.66666666666663</v>
      </c>
      <c r="D86" s="155">
        <f>($C$25)</f>
        <v>10</v>
      </c>
      <c r="E86" s="156" t="s">
        <v>1</v>
      </c>
      <c r="F86" s="157" t="s">
        <v>1</v>
      </c>
      <c r="G86" s="154">
        <f>$C$84*$C$5*(H86)*$C$36</f>
        <v>293.33333333333331</v>
      </c>
      <c r="H86" s="155">
        <f>($C$25)/2</f>
        <v>5</v>
      </c>
      <c r="I86" s="156" t="s">
        <v>1</v>
      </c>
      <c r="J86" s="158"/>
    </row>
    <row r="87" spans="2:11">
      <c r="C87" s="59" t="s">
        <v>1</v>
      </c>
      <c r="D87" s="159" t="s">
        <v>1</v>
      </c>
      <c r="E87" s="59" t="s">
        <v>1</v>
      </c>
      <c r="F87" s="160"/>
      <c r="G87" s="59" t="s">
        <v>1</v>
      </c>
      <c r="H87" s="159" t="s">
        <v>1</v>
      </c>
      <c r="I87" s="59" t="s">
        <v>1</v>
      </c>
      <c r="J87" s="161"/>
    </row>
    <row r="88" spans="2:11">
      <c r="B88" s="4" t="s">
        <v>90</v>
      </c>
      <c r="C88" s="162" t="s">
        <v>91</v>
      </c>
      <c r="D88" s="163" t="s">
        <v>92</v>
      </c>
      <c r="E88" s="164" t="s">
        <v>93</v>
      </c>
      <c r="F88" s="165"/>
      <c r="G88" s="162" t="s">
        <v>91</v>
      </c>
      <c r="H88" s="163" t="s">
        <v>92</v>
      </c>
      <c r="I88" s="166" t="s">
        <v>93</v>
      </c>
      <c r="J88" s="167"/>
    </row>
    <row r="89" spans="2:11">
      <c r="B89" s="4" t="s">
        <v>60</v>
      </c>
      <c r="C89" s="168">
        <f>C85*(D86)</f>
        <v>1599.9999999999998</v>
      </c>
      <c r="D89" s="169">
        <f>(D86)/2</f>
        <v>5</v>
      </c>
      <c r="E89" s="170">
        <f>C89*D89</f>
        <v>7999.9999999999991</v>
      </c>
      <c r="F89" s="171" t="s">
        <v>1</v>
      </c>
      <c r="G89" s="168">
        <f>G85*(H86)</f>
        <v>799.99999999999989</v>
      </c>
      <c r="H89" s="169">
        <f>(H86)/2</f>
        <v>2.5</v>
      </c>
      <c r="I89" s="170">
        <f>G89*H89</f>
        <v>1999.9999999999998</v>
      </c>
      <c r="J89" s="172"/>
    </row>
    <row r="90" spans="2:11">
      <c r="B90" s="4" t="s">
        <v>61</v>
      </c>
      <c r="C90" s="173">
        <f>C86*(D86)/2</f>
        <v>2933.333333333333</v>
      </c>
      <c r="D90" s="174">
        <f>(D86)/3</f>
        <v>3.3333333333333335</v>
      </c>
      <c r="E90" s="170">
        <f>C90*D90</f>
        <v>9777.7777777777774</v>
      </c>
      <c r="F90" s="175" t="s">
        <v>1</v>
      </c>
      <c r="G90" s="173">
        <f>G86*(H86)/2</f>
        <v>733.33333333333326</v>
      </c>
      <c r="H90" s="174">
        <f>(H86)/3</f>
        <v>1.6666666666666667</v>
      </c>
      <c r="I90" s="176">
        <f>G90*H90</f>
        <v>1222.2222222222222</v>
      </c>
      <c r="J90" s="177"/>
    </row>
    <row r="91" spans="2:11">
      <c r="B91" s="4" t="s">
        <v>94</v>
      </c>
      <c r="C91" s="173"/>
      <c r="D91" s="174"/>
      <c r="E91" s="170">
        <f>SUM(E89:E90)</f>
        <v>17777.777777777777</v>
      </c>
      <c r="F91" s="175"/>
      <c r="G91" s="173"/>
      <c r="H91" s="178"/>
      <c r="I91" s="170">
        <f>SUM(I89:I90)</f>
        <v>3222.2222222222217</v>
      </c>
      <c r="J91" s="179"/>
    </row>
    <row r="92" spans="2:11">
      <c r="C92" s="180"/>
      <c r="D92" s="181"/>
      <c r="E92" s="182"/>
      <c r="G92" s="183"/>
      <c r="H92" s="184"/>
      <c r="I92" s="185"/>
    </row>
    <row r="93" spans="2:11">
      <c r="B93" s="127" t="s">
        <v>95</v>
      </c>
      <c r="C93" s="180"/>
      <c r="D93" s="181"/>
      <c r="E93" s="182"/>
    </row>
    <row r="94" spans="2:11">
      <c r="B94" s="4" t="s">
        <v>96</v>
      </c>
      <c r="C94" s="180"/>
      <c r="D94" s="181"/>
      <c r="E94" s="182">
        <f>(C68-C69)/E27</f>
        <v>246.92541302235173</v>
      </c>
      <c r="F94" s="186" t="s">
        <v>97</v>
      </c>
      <c r="G94" s="187"/>
      <c r="H94" s="188"/>
      <c r="I94" s="189"/>
      <c r="J94" s="189"/>
      <c r="K94" s="190"/>
    </row>
    <row r="95" spans="2:11">
      <c r="C95" s="191" t="s">
        <v>98</v>
      </c>
      <c r="D95" s="192" t="s">
        <v>99</v>
      </c>
      <c r="E95" s="193" t="s">
        <v>94</v>
      </c>
      <c r="F95" s="194" t="s">
        <v>43</v>
      </c>
      <c r="G95" s="195" t="s">
        <v>100</v>
      </c>
      <c r="H95" s="196" t="s">
        <v>101</v>
      </c>
      <c r="I95" s="197" t="s">
        <v>102</v>
      </c>
      <c r="J95" s="197"/>
      <c r="K95" s="190"/>
    </row>
    <row r="96" spans="2:11">
      <c r="B96" s="4" t="s">
        <v>103</v>
      </c>
      <c r="C96" s="173">
        <f>E28-E26-2.5/12</f>
        <v>4.1666666666666657E-2</v>
      </c>
      <c r="D96" s="174">
        <f>1.6*(C68+C68-$E$94*C96)/2*C96</f>
        <v>128.0110729807796</v>
      </c>
      <c r="E96" s="170">
        <f>1.6*(($C$68-C96*$E$94)*C96^2/2+($E$94*C96*C96/2*C96*2/3))</f>
        <v>2.6692789646171509</v>
      </c>
      <c r="F96" s="198">
        <v>12</v>
      </c>
      <c r="G96" s="199">
        <f>E26*12</f>
        <v>12</v>
      </c>
      <c r="H96" s="200">
        <f>G96-2.5</f>
        <v>9.5</v>
      </c>
      <c r="I96" s="201">
        <f>0.75*2*SQRT($C$19)*F96*H96</f>
        <v>8550</v>
      </c>
      <c r="J96" s="201"/>
      <c r="K96" s="202" t="s">
        <v>1</v>
      </c>
    </row>
    <row r="97" spans="2:15">
      <c r="B97" s="4" t="s">
        <v>104</v>
      </c>
      <c r="C97" s="173">
        <f>E28</f>
        <v>1.25</v>
      </c>
      <c r="D97" s="174">
        <f>1.6*($C$68+$C$68-$E$94*C97)/2*C97</f>
        <v>3541.9639820213797</v>
      </c>
      <c r="E97" s="170">
        <f>1.6*(($C$68-C97*$E$94)*C97^2/2+($E$94*C97*C97/2*C97*2/3))</f>
        <v>2278.0309817379334</v>
      </c>
      <c r="F97" s="198">
        <v>12</v>
      </c>
      <c r="G97" s="203">
        <f>E26*12</f>
        <v>12</v>
      </c>
      <c r="H97" s="200">
        <f>G97-2.5</f>
        <v>9.5</v>
      </c>
      <c r="I97" s="201">
        <f>0.75*2*SQRT($C$19)*F97*H97</f>
        <v>8550</v>
      </c>
      <c r="J97" s="201"/>
      <c r="K97" s="204" t="s">
        <v>1</v>
      </c>
    </row>
    <row r="98" spans="2:15">
      <c r="B98" s="4" t="s">
        <v>105</v>
      </c>
      <c r="C98" s="173">
        <f>E28+E31/12+E26+2.5/12</f>
        <v>3.4583333333333335</v>
      </c>
      <c r="D98" s="174">
        <f>1.2*($C$25-$E$26)*($E$27-C98)*$C$5+1.5*($E$26)*($E$27-C98)*$C$21</f>
        <v>5004.3749999999991</v>
      </c>
      <c r="E98" s="170">
        <f>1.2*($C$25-$E$26)*($E$27-C98)^2*$C$5/2+1.5*($E$26)*($E$27-C98)^2*$C$21/2</f>
        <v>8861.9140624999982</v>
      </c>
      <c r="F98" s="198">
        <v>12</v>
      </c>
      <c r="G98" s="203">
        <f>E26*12</f>
        <v>12</v>
      </c>
      <c r="H98" s="200">
        <f>G98-2.5</f>
        <v>9.5</v>
      </c>
      <c r="I98" s="201">
        <f>0.75*2*SQRT($C$19)*F98*H98</f>
        <v>8550</v>
      </c>
      <c r="J98" s="201"/>
      <c r="K98" s="204" t="s">
        <v>1</v>
      </c>
    </row>
    <row r="99" spans="2:15">
      <c r="B99" s="4" t="s">
        <v>106</v>
      </c>
      <c r="C99" s="173">
        <f>E28+E31/12</f>
        <v>2.25</v>
      </c>
      <c r="D99" s="174">
        <f>1.2*($C$25-$E$26)*($E$27-C99)*$C$5+1.5*($E$26)*($E$27-C99)*$C$21</f>
        <v>6711.75</v>
      </c>
      <c r="E99" s="170">
        <f>1.2*($C$25-$E$26)*($E$27-C99)^2*$C$5/2+1.5*($E$26)*($E$27-C99)^2*$C$21/2</f>
        <v>15940.406249999998</v>
      </c>
      <c r="F99" s="198">
        <v>13</v>
      </c>
      <c r="G99" s="203">
        <f>E26*12</f>
        <v>12</v>
      </c>
      <c r="H99" s="200">
        <f>G99-2.5</f>
        <v>9.5</v>
      </c>
      <c r="I99" s="201">
        <f>0.75*2*SQRT($C$19)*F99*H99</f>
        <v>9262.5</v>
      </c>
      <c r="J99" s="201"/>
      <c r="K99" s="204"/>
    </row>
    <row r="100" spans="2:15">
      <c r="C100" s="180"/>
      <c r="D100" s="181"/>
      <c r="E100" s="182"/>
      <c r="F100" s="186"/>
      <c r="G100" s="187"/>
      <c r="H100" s="188"/>
      <c r="I100" s="189"/>
      <c r="J100" s="189"/>
      <c r="K100" s="190"/>
    </row>
    <row r="101" spans="2:15">
      <c r="C101" s="205" t="s">
        <v>94</v>
      </c>
      <c r="E101" s="206" t="s">
        <v>43</v>
      </c>
      <c r="F101" s="207" t="s">
        <v>100</v>
      </c>
      <c r="G101" s="208" t="s">
        <v>101</v>
      </c>
      <c r="H101" s="209" t="s">
        <v>107</v>
      </c>
      <c r="I101" s="210" t="s">
        <v>108</v>
      </c>
      <c r="J101" s="210" t="s">
        <v>109</v>
      </c>
      <c r="K101" s="211" t="s">
        <v>110</v>
      </c>
      <c r="L101" s="212" t="s">
        <v>111</v>
      </c>
      <c r="M101" s="213" t="s">
        <v>112</v>
      </c>
      <c r="N101" s="214" t="s">
        <v>113</v>
      </c>
    </row>
    <row r="102" spans="2:15">
      <c r="B102" s="4" t="s">
        <v>114</v>
      </c>
      <c r="C102" s="215">
        <f>SUM(E89:E90)</f>
        <v>17777.777777777777</v>
      </c>
      <c r="D102" s="216" t="s">
        <v>115</v>
      </c>
      <c r="E102" s="217">
        <v>12</v>
      </c>
      <c r="F102" s="218">
        <f>E31</f>
        <v>12</v>
      </c>
      <c r="G102" s="219">
        <f>F102-2.5</f>
        <v>9.5</v>
      </c>
      <c r="H102" s="220">
        <f>C102*12/E102/G102^2</f>
        <v>196.98368728839642</v>
      </c>
      <c r="I102" s="210">
        <f>Input!I44</f>
        <v>5.0000000000000001E-3</v>
      </c>
      <c r="J102" s="221">
        <f>0.85*I102*$C$20*(1-I102*$C$20/1.7/$C$19)</f>
        <v>200.00000000000003</v>
      </c>
      <c r="K102" s="222">
        <f>I102*E102*G102</f>
        <v>0.56999999999999995</v>
      </c>
      <c r="L102" s="223">
        <f>0.0015*E102*F102</f>
        <v>0.21600000000000003</v>
      </c>
      <c r="M102" s="224">
        <f>Input!M44</f>
        <v>0.75</v>
      </c>
      <c r="N102" s="225">
        <f>PI()/4*M102^2/MAX(K102:L102)*12</f>
        <v>9.3007677244434674</v>
      </c>
      <c r="O102" s="226" t="s">
        <v>39</v>
      </c>
    </row>
    <row r="103" spans="2:15">
      <c r="B103" s="227" t="s">
        <v>116</v>
      </c>
      <c r="C103" s="215">
        <f>E97</f>
        <v>2278.0309817379334</v>
      </c>
      <c r="D103" s="228" t="s">
        <v>115</v>
      </c>
      <c r="E103" s="229">
        <v>12</v>
      </c>
      <c r="F103" s="230">
        <f>E26*12</f>
        <v>12</v>
      </c>
      <c r="G103" s="219">
        <f>F103-2.5</f>
        <v>9.5</v>
      </c>
      <c r="H103" s="220">
        <f>C103*12/E103/G103^2</f>
        <v>25.241340517871837</v>
      </c>
      <c r="I103" s="210">
        <f>Input!I45</f>
        <v>1E-3</v>
      </c>
      <c r="J103" s="221">
        <f>0.85*I103*$C$20*(1-I103*$C$20/1.7/$C$19)</f>
        <v>42</v>
      </c>
      <c r="K103" s="222">
        <f>I103*E103*G103</f>
        <v>0.114</v>
      </c>
      <c r="L103" s="223">
        <f>0.0015*E103*F103</f>
        <v>0.21600000000000003</v>
      </c>
      <c r="M103" s="224">
        <f>Input!M45</f>
        <v>0.5</v>
      </c>
      <c r="N103" s="225">
        <f>PI()/4*M103^2/MAX(K103:L103)*12</f>
        <v>10.90830782496456</v>
      </c>
      <c r="O103" s="231" t="s">
        <v>40</v>
      </c>
    </row>
    <row r="104" spans="2:15">
      <c r="B104" s="232" t="s">
        <v>117</v>
      </c>
      <c r="C104" s="215">
        <f>E99</f>
        <v>15940.406249999998</v>
      </c>
      <c r="D104" s="233" t="s">
        <v>115</v>
      </c>
      <c r="E104" s="234">
        <v>12</v>
      </c>
      <c r="F104" s="235">
        <f>E26*12</f>
        <v>12</v>
      </c>
      <c r="G104" s="219">
        <f>F104-2.5</f>
        <v>9.5</v>
      </c>
      <c r="H104" s="220">
        <f>C104*12/E104/G104^2</f>
        <v>176.62499999999997</v>
      </c>
      <c r="I104" s="210">
        <f>Input!I46</f>
        <v>5.0000000000000001E-3</v>
      </c>
      <c r="J104" s="221">
        <f>0.85*I104*$C$20*(1-I104*$C$20/1.7/$C$19)</f>
        <v>200.00000000000003</v>
      </c>
      <c r="K104" s="222">
        <f>I104*E104*G104</f>
        <v>0.56999999999999995</v>
      </c>
      <c r="L104" s="223">
        <f>0.0015*E104*F104</f>
        <v>0.21600000000000003</v>
      </c>
      <c r="M104" s="224">
        <f>Input!M46</f>
        <v>0.625</v>
      </c>
      <c r="N104" s="225">
        <f>PI()/4*M104^2/MAX(K104:L104)*12</f>
        <v>6.4588664753079641</v>
      </c>
      <c r="O104" s="236" t="s">
        <v>41</v>
      </c>
    </row>
    <row r="105" spans="2:15">
      <c r="E105" s="237"/>
    </row>
    <row r="106" spans="2:15">
      <c r="B106" s="4" t="s">
        <v>118</v>
      </c>
    </row>
    <row r="107" spans="2:15">
      <c r="C107" s="4" t="s">
        <v>100</v>
      </c>
      <c r="D107" s="238" t="s">
        <v>111</v>
      </c>
      <c r="E107" s="239" t="s">
        <v>119</v>
      </c>
      <c r="F107" s="240" t="s">
        <v>120</v>
      </c>
      <c r="G107" s="241" t="s">
        <v>113</v>
      </c>
    </row>
    <row r="108" spans="2:15">
      <c r="B108" s="242" t="str">
        <f>B102</f>
        <v>Stem</v>
      </c>
      <c r="C108" s="243">
        <f>F102</f>
        <v>12</v>
      </c>
      <c r="D108" s="244">
        <f>0.002*12*C108</f>
        <v>0.28800000000000003</v>
      </c>
      <c r="E108" s="245">
        <f>0.5*K102</f>
        <v>0.28499999999999998</v>
      </c>
      <c r="F108" s="246">
        <f>Input!F50</f>
        <v>0.5</v>
      </c>
      <c r="G108" s="247">
        <f>PI()/4*F108^2/MAX(D108:E108)*12</f>
        <v>8.1812308687234179</v>
      </c>
      <c r="H108" s="248" t="s">
        <v>42</v>
      </c>
      <c r="K108" s="4" t="s">
        <v>1</v>
      </c>
    </row>
    <row r="109" spans="2:15">
      <c r="B109" s="242" t="str">
        <f>B103</f>
        <v>Toe</v>
      </c>
      <c r="C109" s="249">
        <f>F103</f>
        <v>12</v>
      </c>
      <c r="D109" s="244">
        <f>0.002*12*C109</f>
        <v>0.28800000000000003</v>
      </c>
      <c r="E109" s="245">
        <f>0.5*K103</f>
        <v>5.7000000000000002E-2</v>
      </c>
      <c r="F109" s="246">
        <f>Input!F51</f>
        <v>0.5</v>
      </c>
      <c r="G109" s="247">
        <f>PI()/4*F109^2/MAX(D109:E109)*12</f>
        <v>8.1812308687234179</v>
      </c>
      <c r="H109" s="250" t="s">
        <v>43</v>
      </c>
    </row>
    <row r="110" spans="2:15">
      <c r="B110" s="242" t="str">
        <f>B104</f>
        <v>Heel</v>
      </c>
      <c r="C110" s="251">
        <f>F104</f>
        <v>12</v>
      </c>
      <c r="D110" s="244">
        <f>0.002*12*C110</f>
        <v>0.28800000000000003</v>
      </c>
      <c r="E110" s="245">
        <f>0.5*K104</f>
        <v>0.28499999999999998</v>
      </c>
      <c r="F110" s="246">
        <f>Input!F52</f>
        <v>0.5</v>
      </c>
      <c r="G110" s="247">
        <f>PI()/4*F110^2/MAX(D110:E110)*12</f>
        <v>8.1812308687234179</v>
      </c>
      <c r="H110" s="252" t="s">
        <v>44</v>
      </c>
    </row>
  </sheetData>
  <sheetProtection password="CC88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16"/>
  <sheetViews>
    <sheetView topLeftCell="C10" workbookViewId="0">
      <selection activeCell="E17" sqref="E17"/>
    </sheetView>
  </sheetViews>
  <sheetFormatPr defaultRowHeight="15"/>
  <cols>
    <col min="3" max="3" width="9.7109375" bestFit="1" customWidth="1"/>
    <col min="4" max="5" width="5.5703125" bestFit="1" customWidth="1"/>
    <col min="6" max="6" width="6.140625" bestFit="1" customWidth="1"/>
    <col min="7" max="7" width="6" bestFit="1" customWidth="1"/>
    <col min="8" max="9" width="5.5703125" bestFit="1" customWidth="1"/>
    <col min="10" max="10" width="6.5703125" bestFit="1" customWidth="1"/>
    <col min="11" max="11" width="5.5703125" bestFit="1" customWidth="1"/>
    <col min="12" max="12" width="6.5703125" bestFit="1" customWidth="1"/>
    <col min="13" max="13" width="5.5703125" bestFit="1" customWidth="1"/>
    <col min="14" max="14" width="6.5703125" bestFit="1" customWidth="1"/>
    <col min="15" max="22" width="5.5703125" bestFit="1" customWidth="1"/>
  </cols>
  <sheetData>
    <row r="2" spans="3:22">
      <c r="C2" s="259">
        <f>Input!C11</f>
        <v>300</v>
      </c>
      <c r="D2" s="259">
        <f>Input!C13</f>
        <v>8</v>
      </c>
      <c r="E2" s="259">
        <f>Input!C14</f>
        <v>2</v>
      </c>
      <c r="F2" s="259">
        <f>Input!E28</f>
        <v>1</v>
      </c>
      <c r="G2" s="259">
        <f>Input!E29</f>
        <v>7</v>
      </c>
      <c r="H2" s="259">
        <f>Input!E30</f>
        <v>1.25</v>
      </c>
      <c r="I2" s="259">
        <f>Input!E32</f>
        <v>8</v>
      </c>
      <c r="J2" s="259">
        <f>Input!E33</f>
        <v>12</v>
      </c>
      <c r="K2" s="259">
        <f>Input!M44</f>
        <v>0.75</v>
      </c>
      <c r="L2" s="259">
        <f>Input!N44</f>
        <v>9.3007677244434674</v>
      </c>
      <c r="M2" s="259">
        <f>Input!M45</f>
        <v>0.5</v>
      </c>
      <c r="N2" s="259">
        <f>Input!N45</f>
        <v>10.90830782496456</v>
      </c>
      <c r="O2" s="259">
        <f>Input!M46</f>
        <v>0.625</v>
      </c>
      <c r="P2" s="259">
        <f>Input!N46</f>
        <v>6.4588664753079641</v>
      </c>
      <c r="Q2" s="259">
        <f>Input!F50</f>
        <v>0.5</v>
      </c>
      <c r="R2" s="259">
        <f>Input!G50</f>
        <v>8.1812308687234179</v>
      </c>
      <c r="S2" s="259">
        <f>Input!F51</f>
        <v>0.5</v>
      </c>
      <c r="T2" s="259">
        <f>Input!G51</f>
        <v>8.1812308687234179</v>
      </c>
      <c r="U2" s="259">
        <f>Input!F52</f>
        <v>0.5</v>
      </c>
      <c r="V2" s="259">
        <f>Input!G52</f>
        <v>8.1812308687234179</v>
      </c>
    </row>
    <row r="3" spans="3:22" s="258" customFormat="1" ht="30">
      <c r="C3" s="260" t="s">
        <v>123</v>
      </c>
      <c r="D3" s="260" t="s">
        <v>136</v>
      </c>
      <c r="E3" s="260" t="s">
        <v>137</v>
      </c>
      <c r="F3" s="260" t="s">
        <v>124</v>
      </c>
      <c r="G3" s="260" t="s">
        <v>125</v>
      </c>
      <c r="H3" s="260" t="s">
        <v>126</v>
      </c>
      <c r="I3" s="260" t="s">
        <v>127</v>
      </c>
      <c r="J3" s="260" t="s">
        <v>128</v>
      </c>
      <c r="K3" s="260" t="s">
        <v>129</v>
      </c>
      <c r="L3" s="260" t="s">
        <v>130</v>
      </c>
      <c r="M3" s="260" t="s">
        <v>129</v>
      </c>
      <c r="N3" s="260" t="s">
        <v>131</v>
      </c>
      <c r="O3" s="260" t="s">
        <v>129</v>
      </c>
      <c r="P3" s="260" t="s">
        <v>132</v>
      </c>
      <c r="Q3" s="260" t="s">
        <v>129</v>
      </c>
      <c r="R3" s="260" t="s">
        <v>133</v>
      </c>
      <c r="S3" s="260" t="s">
        <v>129</v>
      </c>
      <c r="T3" s="260" t="s">
        <v>134</v>
      </c>
      <c r="U3" s="260" t="s">
        <v>129</v>
      </c>
      <c r="V3" s="260" t="s">
        <v>135</v>
      </c>
    </row>
    <row r="4" spans="3:22">
      <c r="C4" s="261">
        <v>450</v>
      </c>
      <c r="D4" s="261">
        <v>6</v>
      </c>
      <c r="E4" s="261">
        <v>3</v>
      </c>
      <c r="F4" s="261">
        <v>1</v>
      </c>
      <c r="G4" s="261">
        <v>6.5</v>
      </c>
      <c r="H4" s="261">
        <v>1.75</v>
      </c>
      <c r="I4" s="261">
        <v>8</v>
      </c>
      <c r="J4" s="261">
        <v>12</v>
      </c>
      <c r="K4" s="261">
        <v>0.75</v>
      </c>
      <c r="L4" s="261">
        <v>13.286811034919236</v>
      </c>
      <c r="M4" s="261">
        <v>0.5</v>
      </c>
      <c r="N4" s="261">
        <v>10.90830782496456</v>
      </c>
      <c r="O4" s="261">
        <v>0.5</v>
      </c>
      <c r="P4" s="261">
        <v>8.6118219670772831</v>
      </c>
      <c r="Q4" s="261">
        <v>0.5</v>
      </c>
      <c r="R4" s="261">
        <v>8.1812308687234179</v>
      </c>
      <c r="S4" s="261">
        <v>0.5</v>
      </c>
      <c r="T4" s="261">
        <v>8.1812308687234179</v>
      </c>
      <c r="U4" s="261">
        <v>0.5</v>
      </c>
      <c r="V4" s="261">
        <v>8.1812308687234179</v>
      </c>
    </row>
    <row r="5" spans="3:22">
      <c r="C5" s="261">
        <v>450</v>
      </c>
      <c r="D5" s="261">
        <v>8</v>
      </c>
      <c r="E5" s="261">
        <v>3</v>
      </c>
      <c r="F5" s="261">
        <v>1</v>
      </c>
      <c r="G5" s="261">
        <v>7</v>
      </c>
      <c r="H5" s="261">
        <v>2.25</v>
      </c>
      <c r="I5" s="261">
        <v>8</v>
      </c>
      <c r="J5" s="261">
        <v>12</v>
      </c>
      <c r="K5" s="261">
        <v>0.75</v>
      </c>
      <c r="L5" s="261">
        <v>6.6434055174596178</v>
      </c>
      <c r="M5" s="261">
        <v>0.5</v>
      </c>
      <c r="N5" s="261">
        <v>8.2673490883941945</v>
      </c>
      <c r="O5" s="261">
        <v>0.5</v>
      </c>
      <c r="P5" s="261">
        <v>6.8894575736618267</v>
      </c>
      <c r="Q5" s="261">
        <v>0.5</v>
      </c>
      <c r="R5" s="261">
        <v>5.905249348852994</v>
      </c>
      <c r="S5" s="261">
        <v>0.5</v>
      </c>
      <c r="T5" s="261">
        <v>8.1812308687234179</v>
      </c>
      <c r="U5" s="261">
        <v>0.5</v>
      </c>
      <c r="V5" s="261">
        <v>8.1812308687234179</v>
      </c>
    </row>
    <row r="6" spans="3:22">
      <c r="C6" s="261">
        <v>450</v>
      </c>
      <c r="D6" s="261">
        <v>10</v>
      </c>
      <c r="E6" s="261">
        <v>4</v>
      </c>
      <c r="F6" s="261">
        <v>1.25</v>
      </c>
      <c r="G6" s="261">
        <v>8.5</v>
      </c>
      <c r="H6" s="261">
        <v>2.5</v>
      </c>
      <c r="I6" s="261">
        <v>12</v>
      </c>
      <c r="J6" s="261">
        <v>16</v>
      </c>
      <c r="K6" s="261">
        <v>0.75</v>
      </c>
      <c r="L6" s="261">
        <v>5.949986086344305</v>
      </c>
      <c r="M6" s="261">
        <v>0.625</v>
      </c>
      <c r="N6" s="261">
        <v>10.671170698334896</v>
      </c>
      <c r="O6" s="261">
        <v>0.625</v>
      </c>
      <c r="P6" s="261">
        <v>7.0124836017629315</v>
      </c>
      <c r="Q6" s="261">
        <v>0.625</v>
      </c>
      <c r="R6" s="261">
        <v>8.2638695643670914</v>
      </c>
      <c r="S6" s="261">
        <v>0.5</v>
      </c>
      <c r="T6" s="261">
        <v>6.5449846949787363</v>
      </c>
      <c r="U6" s="261">
        <v>0.5</v>
      </c>
      <c r="V6" s="261">
        <v>6.5449846949787363</v>
      </c>
    </row>
    <row r="7" spans="3:22"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</row>
    <row r="8" spans="3:22">
      <c r="C8" s="261">
        <v>300</v>
      </c>
      <c r="D8" s="261">
        <v>6</v>
      </c>
      <c r="E8" s="261">
        <v>3</v>
      </c>
      <c r="F8" s="261">
        <v>1</v>
      </c>
      <c r="G8" s="261">
        <v>7</v>
      </c>
      <c r="H8" s="261">
        <v>1.25</v>
      </c>
      <c r="I8" s="261">
        <v>8</v>
      </c>
      <c r="J8" s="261">
        <v>12</v>
      </c>
      <c r="K8" s="261">
        <v>0.75</v>
      </c>
      <c r="L8" s="261">
        <v>15.501279540739111</v>
      </c>
      <c r="M8" s="261">
        <v>0.5</v>
      </c>
      <c r="N8" s="261">
        <v>10.90830782496456</v>
      </c>
      <c r="O8" s="261">
        <v>0.625</v>
      </c>
      <c r="P8" s="261">
        <v>10.764777458846604</v>
      </c>
      <c r="Q8" s="261">
        <v>0.5</v>
      </c>
      <c r="R8" s="261">
        <v>8.1812308687234179</v>
      </c>
      <c r="S8" s="261">
        <v>0.5</v>
      </c>
      <c r="T8" s="261">
        <v>8.1812308687234179</v>
      </c>
      <c r="U8" s="261">
        <v>0.5</v>
      </c>
      <c r="V8" s="261">
        <v>8.1812308687234179</v>
      </c>
    </row>
    <row r="9" spans="3:22">
      <c r="C9" s="261">
        <v>300</v>
      </c>
      <c r="D9" s="261">
        <v>8</v>
      </c>
      <c r="E9" s="261">
        <v>3</v>
      </c>
      <c r="F9" s="261">
        <v>1</v>
      </c>
      <c r="G9" s="261">
        <v>7</v>
      </c>
      <c r="H9" s="261">
        <v>1.25</v>
      </c>
      <c r="I9" s="261">
        <v>8</v>
      </c>
      <c r="J9" s="261">
        <v>12</v>
      </c>
      <c r="K9" s="261">
        <v>0.75</v>
      </c>
      <c r="L9" s="261">
        <v>9.3007677244434674</v>
      </c>
      <c r="M9" s="261">
        <v>0.5</v>
      </c>
      <c r="N9" s="261">
        <v>10.90830782496456</v>
      </c>
      <c r="O9" s="261">
        <v>0.625</v>
      </c>
      <c r="P9" s="261">
        <v>6.4588664753079641</v>
      </c>
      <c r="Q9" s="261">
        <v>0.5</v>
      </c>
      <c r="R9" s="261">
        <v>8.1812308687234179</v>
      </c>
      <c r="S9" s="261">
        <v>0.5</v>
      </c>
      <c r="T9" s="261">
        <v>8.1812308687234179</v>
      </c>
      <c r="U9" s="261">
        <v>0.5</v>
      </c>
      <c r="V9" s="261">
        <v>8.1812308687234179</v>
      </c>
    </row>
    <row r="10" spans="3:22">
      <c r="C10" s="261">
        <v>300</v>
      </c>
      <c r="D10" s="261">
        <v>10</v>
      </c>
      <c r="E10" s="261">
        <v>4</v>
      </c>
      <c r="F10" s="261">
        <v>1.25</v>
      </c>
      <c r="G10" s="261">
        <v>8</v>
      </c>
      <c r="H10" s="261">
        <v>2</v>
      </c>
      <c r="I10" s="261">
        <v>12</v>
      </c>
      <c r="J10" s="261">
        <v>16</v>
      </c>
      <c r="K10" s="261">
        <v>0.75</v>
      </c>
      <c r="L10" s="261">
        <v>6.5449846949787363</v>
      </c>
      <c r="M10" s="261">
        <v>0.625</v>
      </c>
      <c r="N10" s="261">
        <v>12.27184630308513</v>
      </c>
      <c r="O10" s="261">
        <v>0.625</v>
      </c>
      <c r="P10" s="261">
        <v>7.2187331194618416</v>
      </c>
      <c r="Q10" s="261">
        <v>0.625</v>
      </c>
      <c r="R10" s="261">
        <v>9.0902565208038002</v>
      </c>
      <c r="S10" s="261">
        <v>0.5</v>
      </c>
      <c r="T10" s="261">
        <v>6.5449846949787363</v>
      </c>
      <c r="U10" s="261">
        <v>0.5</v>
      </c>
      <c r="V10" s="261">
        <v>6.5449846949787363</v>
      </c>
    </row>
    <row r="11" spans="3:22"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</row>
    <row r="16" spans="3:22">
      <c r="C16" t="s">
        <v>151</v>
      </c>
      <c r="E16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Sheet1</vt:lpstr>
      <vt:lpstr>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Aung Cho</dc:creator>
  <cp:lastModifiedBy>User</cp:lastModifiedBy>
  <dcterms:created xsi:type="dcterms:W3CDTF">2006-09-16T00:00:00Z</dcterms:created>
  <dcterms:modified xsi:type="dcterms:W3CDTF">2018-02-24T08:50:12Z</dcterms:modified>
</cp:coreProperties>
</file>