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90" windowWidth="19800" windowHeight="7095"/>
  </bookViews>
  <sheets>
    <sheet name="Input" sheetId="2" r:id="rId1"/>
    <sheet name="Sheet1" sheetId="1" r:id="rId2"/>
    <sheet name="Test" sheetId="3" r:id="rId3"/>
  </sheets>
  <calcPr calcId="144525"/>
</workbook>
</file>

<file path=xl/calcChain.xml><?xml version="1.0" encoding="utf-8"?>
<calcChain xmlns="http://schemas.openxmlformats.org/spreadsheetml/2006/main">
  <c r="U2" i="3" l="1"/>
  <c r="S2" i="3"/>
  <c r="Q2" i="3"/>
  <c r="O2" i="3"/>
  <c r="M2" i="3"/>
  <c r="K2" i="3"/>
  <c r="J2" i="3"/>
  <c r="I2" i="3"/>
  <c r="H2" i="3"/>
  <c r="G2" i="3"/>
  <c r="F2" i="3"/>
  <c r="E2" i="3"/>
  <c r="D2" i="3"/>
  <c r="C2" i="3"/>
  <c r="F103" i="1" l="1"/>
  <c r="B103" i="1"/>
  <c r="F102" i="1"/>
  <c r="B102" i="1"/>
  <c r="F101" i="1"/>
  <c r="B101" i="1"/>
  <c r="M97" i="1"/>
  <c r="I97" i="1"/>
  <c r="M96" i="1"/>
  <c r="I96" i="1"/>
  <c r="M95" i="1"/>
  <c r="I95" i="1"/>
  <c r="E31" i="1"/>
  <c r="F95" i="1" s="1"/>
  <c r="F40" i="2" s="1"/>
  <c r="D31" i="1"/>
  <c r="E28" i="1"/>
  <c r="E27" i="1"/>
  <c r="C64" i="1" s="1"/>
  <c r="D27" i="1"/>
  <c r="E26" i="1"/>
  <c r="D25" i="1"/>
  <c r="D28" i="1" s="1"/>
  <c r="C21" i="1"/>
  <c r="C20" i="1"/>
  <c r="C19" i="1"/>
  <c r="C16" i="1"/>
  <c r="C15" i="1"/>
  <c r="C13" i="1"/>
  <c r="C12" i="1"/>
  <c r="C10" i="1"/>
  <c r="C8" i="1"/>
  <c r="C6" i="1"/>
  <c r="C34" i="1" s="1"/>
  <c r="C5" i="1"/>
  <c r="B48" i="2"/>
  <c r="B47" i="2"/>
  <c r="B46" i="2"/>
  <c r="G45" i="2"/>
  <c r="F45" i="2"/>
  <c r="E45" i="2"/>
  <c r="D45" i="2"/>
  <c r="C45" i="2"/>
  <c r="B44" i="2"/>
  <c r="E42" i="2"/>
  <c r="D42" i="2"/>
  <c r="B42" i="2"/>
  <c r="E41" i="2"/>
  <c r="D41" i="2"/>
  <c r="B41" i="2"/>
  <c r="E40" i="2"/>
  <c r="D40" i="2"/>
  <c r="B40" i="2"/>
  <c r="N39" i="2"/>
  <c r="M39" i="2"/>
  <c r="L39" i="2"/>
  <c r="K39" i="2"/>
  <c r="J39" i="2"/>
  <c r="I39" i="2"/>
  <c r="H39" i="2"/>
  <c r="G39" i="2"/>
  <c r="F39" i="2"/>
  <c r="E39" i="2"/>
  <c r="C39" i="2"/>
  <c r="C38" i="2"/>
  <c r="E37" i="2"/>
  <c r="D37" i="2"/>
  <c r="B37" i="2"/>
  <c r="F35" i="2"/>
  <c r="B35" i="2"/>
  <c r="G34" i="2"/>
  <c r="F34" i="2"/>
  <c r="B34" i="2"/>
  <c r="D32" i="2"/>
  <c r="E30" i="1"/>
  <c r="D26" i="2"/>
  <c r="D29" i="2" s="1"/>
  <c r="C26" i="2"/>
  <c r="C29" i="2" s="1"/>
  <c r="C36" i="1" l="1"/>
  <c r="G78" i="1" s="1"/>
  <c r="G82" i="1" s="1"/>
  <c r="C25" i="1"/>
  <c r="C32" i="2"/>
  <c r="D53" i="1"/>
  <c r="C51" i="1"/>
  <c r="D45" i="1"/>
  <c r="C27" i="1"/>
  <c r="H79" i="1"/>
  <c r="G79" i="1" s="1"/>
  <c r="G83" i="1" s="1"/>
  <c r="D79" i="1"/>
  <c r="C79" i="1" s="1"/>
  <c r="C83" i="1" s="1"/>
  <c r="C52" i="1"/>
  <c r="D44" i="1"/>
  <c r="C31" i="1"/>
  <c r="C28" i="1"/>
  <c r="C26" i="1"/>
  <c r="D27" i="2"/>
  <c r="D28" i="2"/>
  <c r="C40" i="1"/>
  <c r="C45" i="1" s="1"/>
  <c r="C101" i="1"/>
  <c r="L95" i="1"/>
  <c r="L40" i="2" s="1"/>
  <c r="G95" i="1"/>
  <c r="G40" i="2" s="1"/>
  <c r="D51" i="1"/>
  <c r="C27" i="2"/>
  <c r="C28" i="2"/>
  <c r="F97" i="1"/>
  <c r="F96" i="1"/>
  <c r="G92" i="1"/>
  <c r="H92" i="1" s="1"/>
  <c r="I92" i="1" s="1"/>
  <c r="G91" i="1"/>
  <c r="H91" i="1" s="1"/>
  <c r="G90" i="1"/>
  <c r="H90" i="1" s="1"/>
  <c r="I90" i="1" s="1"/>
  <c r="G89" i="1"/>
  <c r="H89" i="1" s="1"/>
  <c r="D54" i="1"/>
  <c r="D52" i="1"/>
  <c r="C92" i="1"/>
  <c r="D92" i="1" s="1"/>
  <c r="C91" i="1"/>
  <c r="E91" i="1" s="1"/>
  <c r="C90" i="1"/>
  <c r="C89" i="1"/>
  <c r="C35" i="1"/>
  <c r="C41" i="1"/>
  <c r="J95" i="1"/>
  <c r="J40" i="2" s="1"/>
  <c r="J96" i="1"/>
  <c r="J41" i="2" s="1"/>
  <c r="J97" i="1"/>
  <c r="J42" i="2" s="1"/>
  <c r="D26" i="1"/>
  <c r="C53" i="1"/>
  <c r="G61" i="1"/>
  <c r="G35" i="2" s="1"/>
  <c r="C78" i="1"/>
  <c r="I89" i="1"/>
  <c r="I91" i="1"/>
  <c r="C54" i="1" l="1"/>
  <c r="C39" i="1"/>
  <c r="C44" i="1" s="1"/>
  <c r="K95" i="1"/>
  <c r="K40" i="2" s="1"/>
  <c r="E53" i="1"/>
  <c r="E45" i="1"/>
  <c r="C82" i="1"/>
  <c r="C102" i="1"/>
  <c r="L96" i="1"/>
  <c r="L41" i="2" s="1"/>
  <c r="G96" i="1"/>
  <c r="F41" i="2"/>
  <c r="E54" i="1"/>
  <c r="C47" i="1"/>
  <c r="C69" i="1" s="1"/>
  <c r="E44" i="1"/>
  <c r="E47" i="1" s="1"/>
  <c r="E52" i="1"/>
  <c r="H83" i="1"/>
  <c r="I83" i="1" s="1"/>
  <c r="H82" i="1"/>
  <c r="I82" i="1" s="1"/>
  <c r="E92" i="1"/>
  <c r="C97" i="1" s="1"/>
  <c r="D91" i="1"/>
  <c r="E101" i="1"/>
  <c r="E46" i="2" s="1"/>
  <c r="C103" i="1"/>
  <c r="L97" i="1"/>
  <c r="L42" i="2" s="1"/>
  <c r="F42" i="2"/>
  <c r="G97" i="1"/>
  <c r="C46" i="2"/>
  <c r="D101" i="1"/>
  <c r="D83" i="1"/>
  <c r="E83" i="1" s="1"/>
  <c r="D82" i="1"/>
  <c r="C56" i="1"/>
  <c r="E51" i="1"/>
  <c r="N95" i="1" l="1"/>
  <c r="N40" i="2" s="1"/>
  <c r="L2" i="3" s="1"/>
  <c r="E56" i="1"/>
  <c r="E60" i="1" s="1"/>
  <c r="E34" i="2" s="1"/>
  <c r="E82" i="1"/>
  <c r="E84" i="1" s="1"/>
  <c r="H97" i="1"/>
  <c r="H42" i="2" s="1"/>
  <c r="C42" i="2"/>
  <c r="I84" i="1"/>
  <c r="C70" i="1"/>
  <c r="C71" i="1" s="1"/>
  <c r="C37" i="2" s="1"/>
  <c r="G42" i="2"/>
  <c r="K97" i="1"/>
  <c r="D46" i="2"/>
  <c r="G101" i="1"/>
  <c r="G46" i="2" s="1"/>
  <c r="R2" i="3" s="1"/>
  <c r="C48" i="2"/>
  <c r="D103" i="1"/>
  <c r="G41" i="2"/>
  <c r="K96" i="1"/>
  <c r="D102" i="1"/>
  <c r="C47" i="2"/>
  <c r="C95" i="1" l="1"/>
  <c r="H95" i="1" s="1"/>
  <c r="H40" i="2" s="1"/>
  <c r="E61" i="1"/>
  <c r="E35" i="2" s="1"/>
  <c r="E103" i="1"/>
  <c r="E48" i="2" s="1"/>
  <c r="K42" i="2"/>
  <c r="N97" i="1"/>
  <c r="N42" i="2" s="1"/>
  <c r="P2" i="3" s="1"/>
  <c r="E102" i="1"/>
  <c r="E47" i="2" s="1"/>
  <c r="K41" i="2"/>
  <c r="N96" i="1"/>
  <c r="N41" i="2" s="1"/>
  <c r="N2" i="3" s="1"/>
  <c r="D48" i="2"/>
  <c r="D47" i="2"/>
  <c r="C40" i="2" l="1"/>
  <c r="C65" i="1"/>
  <c r="C67" i="1" s="1"/>
  <c r="G102" i="1"/>
  <c r="G47" i="2" s="1"/>
  <c r="T2" i="3" s="1"/>
  <c r="G103" i="1"/>
  <c r="G48" i="2" s="1"/>
  <c r="V2" i="3" s="1"/>
  <c r="C66" i="1" l="1"/>
  <c r="E87" i="1" s="1"/>
  <c r="D90" i="1" s="1"/>
  <c r="E89" i="1" l="1"/>
  <c r="E90" i="1"/>
  <c r="C96" i="1" s="1"/>
  <c r="D89" i="1"/>
  <c r="H96" i="1" l="1"/>
  <c r="H41" i="2" s="1"/>
  <c r="C41" i="2"/>
</calcChain>
</file>

<file path=xl/sharedStrings.xml><?xml version="1.0" encoding="utf-8"?>
<sst xmlns="http://schemas.openxmlformats.org/spreadsheetml/2006/main" count="298" uniqueCount="142">
  <si>
    <t>Back fill data</t>
  </si>
  <si>
    <t/>
  </si>
  <si>
    <t>unit weight of soil</t>
  </si>
  <si>
    <t>pcf</t>
  </si>
  <si>
    <t>internal friction</t>
  </si>
  <si>
    <t>deg</t>
  </si>
  <si>
    <t>Input</t>
  </si>
  <si>
    <t>Trial input</t>
  </si>
  <si>
    <t>Water table</t>
  </si>
  <si>
    <t>ft</t>
  </si>
  <si>
    <t>To be checked</t>
  </si>
  <si>
    <t>Result</t>
  </si>
  <si>
    <t>Surcharge</t>
  </si>
  <si>
    <t>psf</t>
  </si>
  <si>
    <t>Height difference</t>
  </si>
  <si>
    <t>H</t>
  </si>
  <si>
    <t>Height embedded</t>
  </si>
  <si>
    <t>D</t>
  </si>
  <si>
    <t>Friction Conc-Soil</t>
  </si>
  <si>
    <t>Friction Soil-Soil</t>
  </si>
  <si>
    <t>Design Data</t>
  </si>
  <si>
    <t>f'c</t>
  </si>
  <si>
    <t>psi</t>
  </si>
  <si>
    <t>fy</t>
  </si>
  <si>
    <t>Unit weight of Conc</t>
  </si>
  <si>
    <t>Wall geometry</t>
  </si>
  <si>
    <t>Height of wall</t>
  </si>
  <si>
    <t>Base thickness</t>
  </si>
  <si>
    <t>Tbase</t>
  </si>
  <si>
    <t>Base length</t>
  </si>
  <si>
    <t>Lbase</t>
  </si>
  <si>
    <t>Base projection</t>
  </si>
  <si>
    <t>Ltoe</t>
  </si>
  <si>
    <t>Stem thickness</t>
  </si>
  <si>
    <t>Top</t>
  </si>
  <si>
    <t>in</t>
  </si>
  <si>
    <t>Ttop</t>
  </si>
  <si>
    <t>Bottom</t>
  </si>
  <si>
    <t>Tbot</t>
  </si>
  <si>
    <t>A</t>
  </si>
  <si>
    <t>B</t>
  </si>
  <si>
    <t>C</t>
  </si>
  <si>
    <t>a</t>
  </si>
  <si>
    <t>b</t>
  </si>
  <si>
    <t>c</t>
  </si>
  <si>
    <t>RCC. Cantilever Retaining Wall Design</t>
  </si>
  <si>
    <t>unit weight</t>
  </si>
  <si>
    <t>Stability Check</t>
  </si>
  <si>
    <t>Active Coeff.</t>
  </si>
  <si>
    <t>Passive Coeff</t>
  </si>
  <si>
    <t>hs due to surcharge</t>
  </si>
  <si>
    <t>Earth pressure</t>
  </si>
  <si>
    <t>Ptop</t>
  </si>
  <si>
    <t>psf/ft</t>
  </si>
  <si>
    <t>Pbot</t>
  </si>
  <si>
    <t>Pbasetop</t>
  </si>
  <si>
    <t>Lateral Force</t>
  </si>
  <si>
    <t>Ha</t>
  </si>
  <si>
    <t>Arm</t>
  </si>
  <si>
    <t>Overturning</t>
  </si>
  <si>
    <t>H1</t>
  </si>
  <si>
    <t>H2</t>
  </si>
  <si>
    <t>Sum</t>
  </si>
  <si>
    <t>Own-weight</t>
  </si>
  <si>
    <t>w</t>
  </si>
  <si>
    <t>Moment</t>
  </si>
  <si>
    <t>Stem1</t>
  </si>
  <si>
    <t>Stem2</t>
  </si>
  <si>
    <t>Base</t>
  </si>
  <si>
    <t>Earth</t>
  </si>
  <si>
    <t>Check</t>
  </si>
  <si>
    <t>Safety against overturning</t>
  </si>
  <si>
    <t>&gt;</t>
  </si>
  <si>
    <t>Base eccen.</t>
  </si>
  <si>
    <t>Base pressure</t>
  </si>
  <si>
    <t>I</t>
  </si>
  <si>
    <t>ft^4</t>
  </si>
  <si>
    <t>e</t>
  </si>
  <si>
    <t>Q1</t>
  </si>
  <si>
    <t>&lt;</t>
  </si>
  <si>
    <t>qall</t>
  </si>
  <si>
    <t>Q2</t>
  </si>
  <si>
    <t>Sliding force</t>
  </si>
  <si>
    <t>lb</t>
  </si>
  <si>
    <t>Resisting force</t>
  </si>
  <si>
    <t>SF against sliding</t>
  </si>
  <si>
    <t>Reinforcement design</t>
  </si>
  <si>
    <t>Load factor</t>
  </si>
  <si>
    <t>P1</t>
  </si>
  <si>
    <t>P2</t>
  </si>
  <si>
    <t>Lateral force</t>
  </si>
  <si>
    <r>
      <rPr>
        <b/>
        <sz val="11"/>
        <color rgb="FF000000"/>
        <rFont val="宋体"/>
      </rPr>
      <t>Ha</t>
    </r>
  </si>
  <si>
    <r>
      <rPr>
        <b/>
        <sz val="11"/>
        <color rgb="FF000000"/>
        <rFont val="宋体"/>
      </rPr>
      <t>Arm (y)</t>
    </r>
  </si>
  <si>
    <r>
      <rPr>
        <b/>
        <sz val="11"/>
        <color rgb="FF000000"/>
        <rFont val="宋体"/>
      </rPr>
      <t>Mu</t>
    </r>
  </si>
  <si>
    <t>Mu</t>
  </si>
  <si>
    <t>Shear check</t>
  </si>
  <si>
    <t>Slope of base pressure</t>
  </si>
  <si>
    <t>psi/ft</t>
  </si>
  <si>
    <t>L</t>
  </si>
  <si>
    <t>Vu</t>
  </si>
  <si>
    <t>h</t>
  </si>
  <si>
    <t>d</t>
  </si>
  <si>
    <t>fVc</t>
  </si>
  <si>
    <t>L1</t>
  </si>
  <si>
    <t>L2</t>
  </si>
  <si>
    <t>L4</t>
  </si>
  <si>
    <t>L5</t>
  </si>
  <si>
    <t>Ru</t>
  </si>
  <si>
    <t>ro</t>
  </si>
  <si>
    <t>Ru(psi)</t>
  </si>
  <si>
    <t>As(sqin)</t>
  </si>
  <si>
    <t>Asmin</t>
  </si>
  <si>
    <t>db(in)</t>
  </si>
  <si>
    <t>spc(in)</t>
  </si>
  <si>
    <t>Stem</t>
  </si>
  <si>
    <t>lb-ft</t>
  </si>
  <si>
    <t>Toe</t>
  </si>
  <si>
    <t>Heel</t>
  </si>
  <si>
    <t>Distribution bars</t>
  </si>
  <si>
    <t>0.5As</t>
  </si>
  <si>
    <t>db</t>
  </si>
  <si>
    <t>Cantilever R.C.C. Retaining Wall Design</t>
  </si>
  <si>
    <t>Reference: STRUCTURAL CONCRETE, Theiry and Design 6th Edition by M.Nad7m Hassoun, Akthem Al-Manaseer</t>
  </si>
  <si>
    <t>Surcharge psf</t>
  </si>
  <si>
    <t>Tbase ft</t>
  </si>
  <si>
    <t>Lbase ft</t>
  </si>
  <si>
    <t>Ltoe ft</t>
  </si>
  <si>
    <t>Ttop in</t>
  </si>
  <si>
    <t>Tbot in</t>
  </si>
  <si>
    <t>db in</t>
  </si>
  <si>
    <t>A in</t>
  </si>
  <si>
    <t>B in</t>
  </si>
  <si>
    <t>C in</t>
  </si>
  <si>
    <t>a in</t>
  </si>
  <si>
    <t>b in</t>
  </si>
  <si>
    <t>c in</t>
  </si>
  <si>
    <t>H           ft</t>
  </si>
  <si>
    <t>D       ft</t>
  </si>
  <si>
    <t>by Mr. Win Aung Cho, P.E., C Eng, S.E., M.ASCE / 2018</t>
  </si>
  <si>
    <t>Version:1.0</t>
  </si>
  <si>
    <t>Reference: STRUCTURAL CONCRETE, Theory and Design 6th Edition by M.Nadim Hassoun, Akthem Al-Manaseer</t>
  </si>
  <si>
    <t>Without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</si>
</sst>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10">
    <font>
      <sz val="11"/>
      <color theme="1"/>
      <name val="Calibri"/>
      <family val="2"/>
      <scheme val="minor"/>
    </font>
    <font>
      <b/>
      <sz val="11"/>
      <color rgb="FF000000"/>
      <name val="宋体"/>
    </font>
    <font>
      <b/>
      <sz val="11"/>
      <color rgb="FF000000"/>
      <name val="宋体"/>
    </font>
    <font>
      <b/>
      <sz val="11"/>
      <color rgb="FF000000"/>
      <name val="宋体"/>
    </font>
    <font>
      <b/>
      <sz val="11"/>
      <color rgb="FF000000"/>
      <name val="宋体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A01"/>
        <bgColor rgb="FFFFEA01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FFF480"/>
        <bgColor rgb="FFFFF480"/>
      </patternFill>
    </fill>
    <fill>
      <patternFill patternType="solid">
        <fgColor rgb="FFBFFFC0"/>
        <bgColor rgb="FFBFFFC0"/>
      </patternFill>
    </fill>
    <fill>
      <patternFill patternType="solid">
        <fgColor rgb="FF81FF81"/>
        <bgColor rgb="FF81FF81"/>
      </patternFill>
    </fill>
  </fills>
  <borders count="2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10" borderId="0" xfId="0" applyFill="1" applyProtection="1">
      <protection locked="0"/>
    </xf>
    <xf numFmtId="0" fontId="0" fillId="10" borderId="1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7" xfId="0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4" fontId="0" fillId="3" borderId="26" xfId="0" applyNumberFormat="1" applyFill="1" applyBorder="1" applyProtection="1">
      <protection locked="0"/>
    </xf>
    <xf numFmtId="4" fontId="0" fillId="3" borderId="27" xfId="0" applyNumberFormat="1" applyFill="1" applyBorder="1" applyProtection="1">
      <protection locked="0"/>
    </xf>
    <xf numFmtId="4" fontId="0" fillId="3" borderId="0" xfId="0" applyNumberFormat="1" applyFill="1" applyProtection="1">
      <protection locked="0"/>
    </xf>
    <xf numFmtId="4" fontId="0" fillId="3" borderId="28" xfId="0" applyNumberFormat="1" applyFill="1" applyBorder="1" applyProtection="1">
      <protection locked="0"/>
    </xf>
    <xf numFmtId="166" fontId="0" fillId="11" borderId="0" xfId="0" applyNumberFormat="1" applyFill="1" applyProtection="1">
      <protection locked="0"/>
    </xf>
    <xf numFmtId="165" fontId="0" fillId="7" borderId="0" xfId="0" applyNumberFormat="1" applyFill="1" applyProtection="1">
      <protection locked="0"/>
    </xf>
    <xf numFmtId="0" fontId="6" fillId="0" borderId="0" xfId="0" applyFont="1" applyProtection="1"/>
    <xf numFmtId="0" fontId="0" fillId="0" borderId="143" xfId="0" applyBorder="1" applyProtection="1"/>
    <xf numFmtId="0" fontId="0" fillId="0" borderId="0" xfId="0" applyProtection="1"/>
    <xf numFmtId="4" fontId="0" fillId="0" borderId="0" xfId="0" applyNumberFormat="1" applyProtection="1"/>
    <xf numFmtId="0" fontId="8" fillId="0" borderId="0" xfId="0" applyFont="1" applyProtection="1"/>
    <xf numFmtId="0" fontId="0" fillId="0" borderId="204" xfId="0" applyBorder="1" applyProtection="1"/>
    <xf numFmtId="0" fontId="0" fillId="0" borderId="177" xfId="0" applyBorder="1" applyProtection="1"/>
    <xf numFmtId="0" fontId="0" fillId="5" borderId="0" xfId="0" applyFill="1" applyProtection="1"/>
    <xf numFmtId="0" fontId="0" fillId="2" borderId="0" xfId="0" applyFill="1" applyProtection="1"/>
    <xf numFmtId="0" fontId="0" fillId="0" borderId="178" xfId="0" applyBorder="1" applyProtection="1"/>
    <xf numFmtId="0" fontId="0" fillId="2" borderId="1" xfId="0" applyFill="1" applyBorder="1" applyProtection="1"/>
    <xf numFmtId="0" fontId="0" fillId="0" borderId="2" xfId="0" applyBorder="1" applyProtection="1"/>
    <xf numFmtId="0" fontId="0" fillId="0" borderId="209" xfId="0" applyBorder="1" applyProtection="1"/>
    <xf numFmtId="0" fontId="0" fillId="0" borderId="179" xfId="0" applyBorder="1" applyProtection="1"/>
    <xf numFmtId="0" fontId="0" fillId="0" borderId="4" xfId="0" applyBorder="1" applyProtection="1"/>
    <xf numFmtId="0" fontId="0" fillId="0" borderId="180" xfId="0" applyBorder="1" applyProtection="1"/>
    <xf numFmtId="0" fontId="0" fillId="0" borderId="6" xfId="0" applyBorder="1" applyProtection="1"/>
    <xf numFmtId="0" fontId="0" fillId="0" borderId="181" xfId="0" applyBorder="1" applyProtection="1"/>
    <xf numFmtId="0" fontId="0" fillId="0" borderId="8" xfId="0" applyBorder="1" applyProtection="1"/>
    <xf numFmtId="0" fontId="0" fillId="0" borderId="182" xfId="0" applyBorder="1" applyProtection="1"/>
    <xf numFmtId="0" fontId="0" fillId="0" borderId="224" xfId="0" applyBorder="1" applyProtection="1"/>
    <xf numFmtId="4" fontId="1" fillId="0" borderId="223" xfId="0" applyNumberFormat="1" applyFont="1" applyBorder="1" applyAlignment="1" applyProtection="1">
      <alignment horizontal="center"/>
    </xf>
    <xf numFmtId="0" fontId="0" fillId="0" borderId="183" xfId="0" applyBorder="1" applyProtection="1"/>
    <xf numFmtId="0" fontId="0" fillId="0" borderId="12" xfId="0" applyBorder="1" applyProtection="1"/>
    <xf numFmtId="4" fontId="1" fillId="0" borderId="225" xfId="0" applyNumberFormat="1" applyFont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0" fontId="0" fillId="0" borderId="184" xfId="0" applyBorder="1" applyProtection="1"/>
    <xf numFmtId="0" fontId="0" fillId="0" borderId="185" xfId="0" applyBorder="1" applyProtection="1"/>
    <xf numFmtId="4" fontId="0" fillId="0" borderId="226" xfId="0" applyNumberFormat="1" applyBorder="1" applyProtection="1"/>
    <xf numFmtId="0" fontId="0" fillId="0" borderId="186" xfId="0" applyBorder="1" applyProtection="1"/>
    <xf numFmtId="0" fontId="0" fillId="0" borderId="187" xfId="0" applyBorder="1" applyProtection="1"/>
    <xf numFmtId="0" fontId="0" fillId="0" borderId="14" xfId="0" applyBorder="1" applyProtection="1"/>
    <xf numFmtId="0" fontId="0" fillId="0" borderId="188" xfId="0" applyBorder="1" applyProtection="1"/>
    <xf numFmtId="0" fontId="0" fillId="0" borderId="15" xfId="0" applyBorder="1" applyProtection="1"/>
    <xf numFmtId="0" fontId="0" fillId="0" borderId="189" xfId="0" applyBorder="1" applyProtection="1"/>
    <xf numFmtId="0" fontId="0" fillId="0" borderId="190" xfId="0" applyBorder="1" applyProtection="1"/>
    <xf numFmtId="0" fontId="0" fillId="0" borderId="191" xfId="0" applyBorder="1" applyProtection="1"/>
    <xf numFmtId="2" fontId="0" fillId="0" borderId="16" xfId="0" applyNumberFormat="1" applyBorder="1" applyProtection="1"/>
    <xf numFmtId="0" fontId="0" fillId="0" borderId="17" xfId="0" applyBorder="1" applyProtection="1"/>
    <xf numFmtId="0" fontId="0" fillId="0" borderId="240" xfId="0" applyBorder="1" applyProtection="1"/>
    <xf numFmtId="0" fontId="0" fillId="0" borderId="192" xfId="0" applyBorder="1" applyProtection="1"/>
    <xf numFmtId="2" fontId="0" fillId="0" borderId="18" xfId="0" applyNumberFormat="1" applyBorder="1" applyProtection="1"/>
    <xf numFmtId="0" fontId="0" fillId="0" borderId="19" xfId="0" applyBorder="1" applyProtection="1"/>
    <xf numFmtId="4" fontId="0" fillId="3" borderId="228" xfId="0" applyNumberFormat="1" applyFill="1" applyBorder="1" applyProtection="1"/>
    <xf numFmtId="0" fontId="3" fillId="0" borderId="193" xfId="0" applyFont="1" applyBorder="1" applyAlignment="1" applyProtection="1">
      <alignment horizontal="center"/>
    </xf>
    <xf numFmtId="0" fontId="0" fillId="0" borderId="229" xfId="0" applyBorder="1" applyProtection="1"/>
    <xf numFmtId="0" fontId="0" fillId="0" borderId="194" xfId="0" applyBorder="1" applyProtection="1"/>
    <xf numFmtId="2" fontId="0" fillId="0" borderId="20" xfId="0" applyNumberFormat="1" applyBorder="1" applyProtection="1"/>
    <xf numFmtId="0" fontId="0" fillId="0" borderId="21" xfId="0" applyBorder="1" applyProtection="1"/>
    <xf numFmtId="4" fontId="0" fillId="3" borderId="230" xfId="0" applyNumberFormat="1" applyFill="1" applyBorder="1" applyProtection="1"/>
    <xf numFmtId="0" fontId="3" fillId="0" borderId="195" xfId="0" applyFont="1" applyBorder="1" applyAlignment="1" applyProtection="1">
      <alignment horizontal="center"/>
    </xf>
    <xf numFmtId="0" fontId="0" fillId="0" borderId="231" xfId="0" applyBorder="1" applyProtection="1"/>
    <xf numFmtId="0" fontId="0" fillId="0" borderId="196" xfId="0" applyBorder="1" applyProtection="1"/>
    <xf numFmtId="4" fontId="0" fillId="3" borderId="232" xfId="0" applyNumberFormat="1" applyFill="1" applyBorder="1" applyProtection="1"/>
    <xf numFmtId="0" fontId="3" fillId="0" borderId="197" xfId="0" applyFont="1" applyBorder="1" applyAlignment="1" applyProtection="1">
      <alignment horizontal="center"/>
    </xf>
    <xf numFmtId="0" fontId="0" fillId="0" borderId="233" xfId="0" applyBorder="1" applyProtection="1"/>
    <xf numFmtId="0" fontId="0" fillId="0" borderId="198" xfId="0" applyBorder="1" applyProtection="1"/>
    <xf numFmtId="2" fontId="0" fillId="0" borderId="0" xfId="0" applyNumberFormat="1" applyProtection="1"/>
    <xf numFmtId="4" fontId="0" fillId="3" borderId="234" xfId="0" applyNumberFormat="1" applyFill="1" applyBorder="1" applyProtection="1"/>
    <xf numFmtId="0" fontId="3" fillId="0" borderId="199" xfId="0" applyFont="1" applyBorder="1" applyAlignment="1" applyProtection="1">
      <alignment horizontal="center"/>
    </xf>
    <xf numFmtId="0" fontId="0" fillId="0" borderId="235" xfId="0" applyBorder="1" applyProtection="1"/>
    <xf numFmtId="0" fontId="0" fillId="0" borderId="200" xfId="0" applyBorder="1" applyProtection="1"/>
    <xf numFmtId="2" fontId="0" fillId="0" borderId="22" xfId="0" applyNumberFormat="1" applyBorder="1" applyProtection="1"/>
    <xf numFmtId="0" fontId="0" fillId="0" borderId="23" xfId="0" applyBorder="1" applyProtection="1"/>
    <xf numFmtId="4" fontId="0" fillId="3" borderId="236" xfId="0" applyNumberFormat="1" applyFill="1" applyBorder="1" applyProtection="1"/>
    <xf numFmtId="0" fontId="3" fillId="0" borderId="201" xfId="0" applyFont="1" applyBorder="1" applyAlignment="1" applyProtection="1">
      <alignment horizontal="center"/>
    </xf>
    <xf numFmtId="0" fontId="0" fillId="0" borderId="237" xfId="0" applyBorder="1" applyProtection="1"/>
    <xf numFmtId="0" fontId="0" fillId="0" borderId="202" xfId="0" applyBorder="1" applyProtection="1"/>
    <xf numFmtId="2" fontId="0" fillId="0" borderId="24" xfId="0" applyNumberFormat="1" applyBorder="1" applyProtection="1"/>
    <xf numFmtId="0" fontId="0" fillId="0" borderId="25" xfId="0" applyBorder="1" applyProtection="1"/>
    <xf numFmtId="4" fontId="0" fillId="3" borderId="238" xfId="0" applyNumberFormat="1" applyFill="1" applyBorder="1" applyProtection="1"/>
    <xf numFmtId="0" fontId="3" fillId="0" borderId="203" xfId="0" applyFont="1" applyBorder="1" applyAlignment="1" applyProtection="1">
      <alignment horizontal="center"/>
    </xf>
    <xf numFmtId="0" fontId="0" fillId="0" borderId="239" xfId="0" applyBorder="1" applyProtection="1"/>
    <xf numFmtId="0" fontId="0" fillId="0" borderId="205" xfId="0" applyBorder="1" applyProtection="1"/>
    <xf numFmtId="2" fontId="0" fillId="0" borderId="206" xfId="0" applyNumberFormat="1" applyBorder="1" applyProtection="1"/>
    <xf numFmtId="0" fontId="0" fillId="0" borderId="207" xfId="0" applyBorder="1" applyProtection="1"/>
    <xf numFmtId="0" fontId="0" fillId="0" borderId="208" xfId="0" applyBorder="1" applyProtection="1"/>
    <xf numFmtId="0" fontId="3" fillId="0" borderId="241" xfId="0" applyFont="1" applyBorder="1" applyAlignment="1" applyProtection="1">
      <alignment horizontal="center"/>
    </xf>
    <xf numFmtId="2" fontId="0" fillId="0" borderId="29" xfId="0" applyNumberFormat="1" applyBorder="1" applyProtection="1"/>
    <xf numFmtId="0" fontId="0" fillId="0" borderId="30" xfId="0" applyBorder="1" applyProtection="1"/>
    <xf numFmtId="2" fontId="0" fillId="0" borderId="31" xfId="0" applyNumberFormat="1" applyBorder="1" applyProtection="1"/>
    <xf numFmtId="2" fontId="0" fillId="0" borderId="32" xfId="0" applyNumberFormat="1" applyBorder="1" applyProtection="1"/>
    <xf numFmtId="0" fontId="0" fillId="0" borderId="33" xfId="0" applyBorder="1" applyProtection="1"/>
    <xf numFmtId="2" fontId="0" fillId="0" borderId="212" xfId="0" applyNumberFormat="1" applyBorder="1" applyProtection="1"/>
    <xf numFmtId="0" fontId="0" fillId="0" borderId="210" xfId="0" applyBorder="1" applyProtection="1"/>
    <xf numFmtId="2" fontId="0" fillId="0" borderId="34" xfId="0" applyNumberFormat="1" applyBorder="1" applyProtection="1"/>
    <xf numFmtId="0" fontId="0" fillId="0" borderId="211" xfId="0" applyBorder="1" applyProtection="1"/>
    <xf numFmtId="2" fontId="0" fillId="0" borderId="213" xfId="0" applyNumberFormat="1" applyBorder="1" applyProtection="1"/>
    <xf numFmtId="0" fontId="0" fillId="0" borderId="35" xfId="0" applyBorder="1" applyProtection="1"/>
    <xf numFmtId="2" fontId="0" fillId="0" borderId="36" xfId="0" applyNumberFormat="1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39" xfId="0" applyBorder="1" applyProtection="1"/>
    <xf numFmtId="4" fontId="0" fillId="0" borderId="61" xfId="0" applyNumberFormat="1" applyBorder="1" applyProtection="1"/>
    <xf numFmtId="4" fontId="0" fillId="0" borderId="40" xfId="0" applyNumberFormat="1" applyBorder="1" applyProtection="1"/>
    <xf numFmtId="4" fontId="0" fillId="0" borderId="41" xfId="0" applyNumberFormat="1" applyBorder="1" applyProtection="1"/>
    <xf numFmtId="4" fontId="0" fillId="0" borderId="62" xfId="0" applyNumberFormat="1" applyBorder="1" applyProtection="1"/>
    <xf numFmtId="164" fontId="0" fillId="0" borderId="0" xfId="0" applyNumberFormat="1" applyProtection="1"/>
    <xf numFmtId="4" fontId="0" fillId="0" borderId="42" xfId="0" applyNumberFormat="1" applyBorder="1" applyProtection="1"/>
    <xf numFmtId="4" fontId="0" fillId="0" borderId="43" xfId="0" applyNumberFormat="1" applyBorder="1" applyProtection="1"/>
    <xf numFmtId="4" fontId="0" fillId="0" borderId="63" xfId="0" applyNumberFormat="1" applyBorder="1" applyProtection="1"/>
    <xf numFmtId="0" fontId="0" fillId="0" borderId="44" xfId="0" applyBorder="1" applyProtection="1"/>
    <xf numFmtId="0" fontId="0" fillId="0" borderId="45" xfId="0" applyBorder="1" applyProtection="1"/>
    <xf numFmtId="4" fontId="0" fillId="0" borderId="46" xfId="0" applyNumberFormat="1" applyBorder="1" applyProtection="1"/>
    <xf numFmtId="2" fontId="0" fillId="0" borderId="47" xfId="0" applyNumberFormat="1" applyBorder="1" applyProtection="1"/>
    <xf numFmtId="2" fontId="0" fillId="0" borderId="48" xfId="0" applyNumberFormat="1" applyBorder="1" applyProtection="1"/>
    <xf numFmtId="2" fontId="0" fillId="0" borderId="55" xfId="0" applyNumberFormat="1" applyBorder="1" applyProtection="1"/>
    <xf numFmtId="2" fontId="0" fillId="0" borderId="49" xfId="0" applyNumberFormat="1" applyBorder="1" applyProtection="1"/>
    <xf numFmtId="2" fontId="0" fillId="0" borderId="53" xfId="0" applyNumberFormat="1" applyBorder="1" applyProtection="1"/>
    <xf numFmtId="2" fontId="0" fillId="0" borderId="58" xfId="0" applyNumberFormat="1" applyBorder="1" applyProtection="1"/>
    <xf numFmtId="0" fontId="0" fillId="0" borderId="54" xfId="0" applyBorder="1" applyProtection="1"/>
    <xf numFmtId="2" fontId="0" fillId="0" borderId="50" xfId="0" applyNumberFormat="1" applyBorder="1" applyProtection="1"/>
    <xf numFmtId="2" fontId="0" fillId="0" borderId="56" xfId="0" applyNumberFormat="1" applyBorder="1" applyProtection="1"/>
    <xf numFmtId="0" fontId="0" fillId="0" borderId="57" xfId="0" applyBorder="1" applyProtection="1"/>
    <xf numFmtId="2" fontId="0" fillId="0" borderId="51" xfId="0" applyNumberFormat="1" applyBorder="1" applyProtection="1"/>
    <xf numFmtId="2" fontId="0" fillId="0" borderId="52" xfId="0" applyNumberFormat="1" applyBorder="1" applyProtection="1"/>
    <xf numFmtId="2" fontId="0" fillId="0" borderId="59" xfId="0" applyNumberFormat="1" applyBorder="1" applyProtection="1"/>
    <xf numFmtId="2" fontId="0" fillId="0" borderId="60" xfId="0" applyNumberFormat="1" applyBorder="1" applyProtection="1"/>
    <xf numFmtId="0" fontId="0" fillId="6" borderId="65" xfId="0" applyFill="1" applyBorder="1" applyProtection="1"/>
    <xf numFmtId="4" fontId="0" fillId="4" borderId="64" xfId="0" applyNumberFormat="1" applyFill="1" applyBorder="1" applyProtection="1"/>
    <xf numFmtId="0" fontId="0" fillId="0" borderId="69" xfId="0" applyBorder="1" applyAlignment="1" applyProtection="1">
      <alignment horizontal="center"/>
    </xf>
    <xf numFmtId="0" fontId="0" fillId="0" borderId="70" xfId="0" applyBorder="1" applyProtection="1"/>
    <xf numFmtId="4" fontId="0" fillId="4" borderId="66" xfId="0" applyNumberFormat="1" applyFill="1" applyBorder="1" applyProtection="1"/>
    <xf numFmtId="0" fontId="0" fillId="0" borderId="67" xfId="0" applyBorder="1" applyAlignment="1" applyProtection="1">
      <alignment horizontal="center"/>
    </xf>
    <xf numFmtId="0" fontId="0" fillId="0" borderId="68" xfId="0" applyBorder="1" applyProtection="1"/>
    <xf numFmtId="0" fontId="0" fillId="6" borderId="0" xfId="0" applyFill="1" applyProtection="1"/>
    <xf numFmtId="2" fontId="0" fillId="0" borderId="71" xfId="0" applyNumberFormat="1" applyBorder="1" applyProtection="1"/>
    <xf numFmtId="0" fontId="0" fillId="0" borderId="72" xfId="0" applyBorder="1" applyProtection="1"/>
    <xf numFmtId="0" fontId="0" fillId="0" borderId="74" xfId="0" applyBorder="1" applyProtection="1"/>
    <xf numFmtId="2" fontId="0" fillId="0" borderId="73" xfId="0" applyNumberFormat="1" applyBorder="1" applyProtection="1"/>
    <xf numFmtId="0" fontId="0" fillId="0" borderId="76" xfId="0" applyBorder="1" applyAlignment="1" applyProtection="1">
      <alignment horizontal="center"/>
    </xf>
    <xf numFmtId="4" fontId="0" fillId="0" borderId="78" xfId="0" applyNumberFormat="1" applyBorder="1" applyProtection="1"/>
    <xf numFmtId="2" fontId="0" fillId="0" borderId="75" xfId="0" applyNumberFormat="1" applyBorder="1" applyProtection="1"/>
    <xf numFmtId="0" fontId="0" fillId="0" borderId="77" xfId="0" applyBorder="1" applyAlignment="1" applyProtection="1">
      <alignment horizontal="center"/>
    </xf>
    <xf numFmtId="4" fontId="0" fillId="0" borderId="79" xfId="0" applyNumberFormat="1" applyBorder="1" applyProtection="1"/>
    <xf numFmtId="2" fontId="0" fillId="0" borderId="80" xfId="0" applyNumberFormat="1" applyBorder="1" applyProtection="1"/>
    <xf numFmtId="0" fontId="0" fillId="0" borderId="81" xfId="0" applyBorder="1" applyProtection="1"/>
    <xf numFmtId="2" fontId="0" fillId="0" borderId="82" xfId="0" applyNumberFormat="1" applyBorder="1" applyProtection="1"/>
    <xf numFmtId="0" fontId="0" fillId="0" borderId="83" xfId="0" applyBorder="1" applyProtection="1"/>
    <xf numFmtId="2" fontId="0" fillId="8" borderId="84" xfId="0" applyNumberFormat="1" applyFill="1" applyBorder="1" applyProtection="1"/>
    <xf numFmtId="0" fontId="0" fillId="0" borderId="85" xfId="0" applyBorder="1" applyAlignment="1" applyProtection="1">
      <alignment horizontal="center"/>
    </xf>
    <xf numFmtId="4" fontId="0" fillId="0" borderId="86" xfId="0" applyNumberFormat="1" applyBorder="1" applyProtection="1"/>
    <xf numFmtId="0" fontId="0" fillId="0" borderId="87" xfId="0" applyBorder="1" applyProtection="1"/>
    <xf numFmtId="0" fontId="0" fillId="0" borderId="136" xfId="0" applyBorder="1" applyProtection="1"/>
    <xf numFmtId="0" fontId="0" fillId="0" borderId="155" xfId="0" applyBorder="1" applyProtection="1"/>
    <xf numFmtId="0" fontId="0" fillId="0" borderId="157" xfId="0" applyBorder="1" applyProtection="1"/>
    <xf numFmtId="0" fontId="0" fillId="0" borderId="159" xfId="0" applyBorder="1" applyProtection="1"/>
    <xf numFmtId="2" fontId="0" fillId="0" borderId="132" xfId="0" applyNumberFormat="1" applyBorder="1" applyProtection="1"/>
    <xf numFmtId="2" fontId="0" fillId="0" borderId="88" xfId="0" applyNumberFormat="1" applyBorder="1" applyProtection="1"/>
    <xf numFmtId="2" fontId="0" fillId="0" borderId="133" xfId="0" applyNumberFormat="1" applyBorder="1" applyProtection="1"/>
    <xf numFmtId="0" fontId="0" fillId="0" borderId="144" xfId="0" applyBorder="1" applyProtection="1"/>
    <xf numFmtId="0" fontId="0" fillId="0" borderId="145" xfId="0" applyBorder="1" applyProtection="1"/>
    <xf numFmtId="2" fontId="0" fillId="0" borderId="134" xfId="0" applyNumberFormat="1" applyBorder="1" applyProtection="1"/>
    <xf numFmtId="2" fontId="0" fillId="0" borderId="89" xfId="0" applyNumberFormat="1" applyBorder="1" applyProtection="1"/>
    <xf numFmtId="2" fontId="0" fillId="0" borderId="135" xfId="0" applyNumberFormat="1" applyBorder="1" applyProtection="1"/>
    <xf numFmtId="0" fontId="0" fillId="0" borderId="146" xfId="0" applyBorder="1" applyProtection="1"/>
    <xf numFmtId="0" fontId="0" fillId="0" borderId="147" xfId="0" applyBorder="1" applyProtection="1"/>
    <xf numFmtId="2" fontId="0" fillId="0" borderId="137" xfId="0" applyNumberFormat="1" applyBorder="1" applyProtection="1"/>
    <xf numFmtId="0" fontId="0" fillId="0" borderId="148" xfId="0" applyBorder="1" applyProtection="1"/>
    <xf numFmtId="0" fontId="0" fillId="0" borderId="149" xfId="0" applyBorder="1" applyProtection="1"/>
    <xf numFmtId="0" fontId="1" fillId="0" borderId="90" xfId="0" applyFont="1" applyBorder="1" applyAlignment="1" applyProtection="1">
      <alignment horizontal="center"/>
    </xf>
    <xf numFmtId="0" fontId="1" fillId="0" borderId="91" xfId="0" applyFont="1" applyBorder="1" applyAlignment="1" applyProtection="1">
      <alignment horizontal="center"/>
    </xf>
    <xf numFmtId="4" fontId="1" fillId="0" borderId="164" xfId="0" applyNumberFormat="1" applyFont="1" applyBorder="1" applyAlignment="1" applyProtection="1">
      <alignment horizontal="center"/>
    </xf>
    <xf numFmtId="0" fontId="1" fillId="0" borderId="150" xfId="0" applyFont="1" applyBorder="1" applyAlignment="1" applyProtection="1">
      <alignment horizontal="center"/>
    </xf>
    <xf numFmtId="0" fontId="1" fillId="0" borderId="16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0" fillId="0" borderId="92" xfId="0" applyNumberFormat="1" applyBorder="1" applyProtection="1"/>
    <xf numFmtId="2" fontId="0" fillId="0" borderId="93" xfId="0" applyNumberFormat="1" applyBorder="1" applyProtection="1"/>
    <xf numFmtId="2" fontId="0" fillId="0" borderId="97" xfId="0" applyNumberFormat="1" applyBorder="1" applyProtection="1"/>
    <xf numFmtId="2" fontId="0" fillId="0" borderId="151" xfId="0" applyNumberFormat="1" applyBorder="1" applyProtection="1"/>
    <xf numFmtId="0" fontId="0" fillId="0" borderId="152" xfId="0" applyBorder="1" applyProtection="1"/>
    <xf numFmtId="2" fontId="0" fillId="0" borderId="94" xfId="0" applyNumberFormat="1" applyBorder="1" applyProtection="1"/>
    <xf numFmtId="2" fontId="0" fillId="0" borderId="95" xfId="0" applyNumberFormat="1" applyBorder="1" applyProtection="1"/>
    <xf numFmtId="2" fontId="0" fillId="0" borderId="153" xfId="0" applyNumberFormat="1" applyBorder="1" applyProtection="1"/>
    <xf numFmtId="2" fontId="0" fillId="0" borderId="162" xfId="0" applyNumberFormat="1" applyBorder="1" applyProtection="1"/>
    <xf numFmtId="0" fontId="0" fillId="0" borderId="154" xfId="0" applyBorder="1" applyProtection="1"/>
    <xf numFmtId="2" fontId="0" fillId="0" borderId="160" xfId="0" applyNumberFormat="1" applyBorder="1" applyProtection="1"/>
    <xf numFmtId="0" fontId="0" fillId="0" borderId="161" xfId="0" applyBorder="1" applyProtection="1"/>
    <xf numFmtId="0" fontId="0" fillId="0" borderId="94" xfId="0" applyBorder="1" applyProtection="1"/>
    <xf numFmtId="0" fontId="0" fillId="0" borderId="95" xfId="0" applyBorder="1" applyProtection="1"/>
    <xf numFmtId="4" fontId="0" fillId="0" borderId="97" xfId="0" applyNumberFormat="1" applyBorder="1" applyProtection="1"/>
    <xf numFmtId="0" fontId="0" fillId="0" borderId="156" xfId="0" applyBorder="1" applyProtection="1"/>
    <xf numFmtId="0" fontId="0" fillId="0" borderId="158" xfId="0" applyBorder="1" applyProtection="1"/>
    <xf numFmtId="0" fontId="0" fillId="0" borderId="163" xfId="0" applyBorder="1" applyProtection="1"/>
    <xf numFmtId="0" fontId="0" fillId="0" borderId="124" xfId="0" applyBorder="1" applyProtection="1"/>
    <xf numFmtId="0" fontId="0" fillId="0" borderId="112" xfId="0" applyBorder="1" applyProtection="1"/>
    <xf numFmtId="0" fontId="0" fillId="0" borderId="113" xfId="0" applyBorder="1" applyProtection="1"/>
    <xf numFmtId="0" fontId="0" fillId="0" borderId="114" xfId="0" applyBorder="1" applyProtection="1"/>
    <xf numFmtId="0" fontId="0" fillId="0" borderId="108" xfId="0" applyBorder="1" applyProtection="1"/>
    <xf numFmtId="0" fontId="1" fillId="0" borderId="94" xfId="0" applyFont="1" applyBorder="1" applyAlignment="1" applyProtection="1">
      <alignment horizontal="center"/>
    </xf>
    <xf numFmtId="0" fontId="1" fillId="0" borderId="95" xfId="0" applyFont="1" applyBorder="1" applyAlignment="1" applyProtection="1">
      <alignment horizontal="center"/>
    </xf>
    <xf numFmtId="4" fontId="1" fillId="0" borderId="97" xfId="0" applyNumberFormat="1" applyFont="1" applyBorder="1" applyAlignment="1" applyProtection="1">
      <alignment horizontal="center"/>
    </xf>
    <xf numFmtId="0" fontId="1" fillId="0" borderId="124" xfId="0" applyFont="1" applyBorder="1" applyAlignment="1" applyProtection="1">
      <alignment horizontal="center"/>
    </xf>
    <xf numFmtId="0" fontId="1" fillId="0" borderId="112" xfId="0" applyFont="1" applyBorder="1" applyAlignment="1" applyProtection="1">
      <alignment horizontal="center"/>
    </xf>
    <xf numFmtId="0" fontId="1" fillId="0" borderId="130" xfId="0" applyFont="1" applyBorder="1" applyAlignment="1" applyProtection="1">
      <alignment horizontal="center"/>
    </xf>
    <xf numFmtId="0" fontId="1" fillId="0" borderId="127" xfId="0" applyFont="1" applyBorder="1" applyAlignment="1" applyProtection="1">
      <alignment horizontal="center"/>
    </xf>
    <xf numFmtId="2" fontId="0" fillId="0" borderId="124" xfId="0" applyNumberFormat="1" applyBorder="1" applyProtection="1"/>
    <xf numFmtId="2" fontId="0" fillId="0" borderId="128" xfId="0" applyNumberFormat="1" applyBorder="1" applyProtection="1"/>
    <xf numFmtId="2" fontId="0" fillId="0" borderId="131" xfId="0" applyNumberFormat="1" applyBorder="1" applyProtection="1"/>
    <xf numFmtId="2" fontId="0" fillId="0" borderId="129" xfId="0" applyNumberFormat="1" applyBorder="1" applyProtection="1"/>
    <xf numFmtId="2" fontId="0" fillId="0" borderId="126" xfId="0" applyNumberFormat="1" applyBorder="1" applyProtection="1"/>
    <xf numFmtId="2" fontId="0" fillId="0" borderId="112" xfId="0" applyNumberFormat="1" applyBorder="1" applyProtection="1"/>
    <xf numFmtId="2" fontId="0" fillId="0" borderId="108" xfId="0" applyNumberFormat="1" applyBorder="1" applyProtection="1"/>
    <xf numFmtId="0" fontId="0" fillId="0" borderId="105" xfId="0" applyBorder="1" applyProtection="1"/>
    <xf numFmtId="4" fontId="0" fillId="0" borderId="109" xfId="0" applyNumberFormat="1" applyBorder="1" applyProtection="1"/>
    <xf numFmtId="0" fontId="0" fillId="0" borderId="125" xfId="0" applyBorder="1" applyProtection="1"/>
    <xf numFmtId="0" fontId="0" fillId="0" borderId="99" xfId="0" applyBorder="1" applyProtection="1"/>
    <xf numFmtId="0" fontId="0" fillId="0" borderId="100" xfId="0" applyBorder="1" applyProtection="1"/>
    <xf numFmtId="0" fontId="0" fillId="0" borderId="101" xfId="0" applyBorder="1" applyProtection="1"/>
    <xf numFmtId="0" fontId="0" fillId="0" borderId="110" xfId="0" applyBorder="1" applyProtection="1"/>
    <xf numFmtId="0" fontId="0" fillId="0" borderId="106" xfId="0" applyBorder="1" applyProtection="1"/>
    <xf numFmtId="0" fontId="0" fillId="0" borderId="140" xfId="0" applyBorder="1" applyProtection="1"/>
    <xf numFmtId="0" fontId="0" fillId="0" borderId="141" xfId="0" applyBorder="1" applyProtection="1"/>
    <xf numFmtId="2" fontId="0" fillId="0" borderId="96" xfId="0" applyNumberFormat="1" applyBorder="1" applyProtection="1"/>
    <xf numFmtId="2" fontId="0" fillId="0" borderId="98" xfId="0" applyNumberFormat="1" applyBorder="1" applyProtection="1"/>
    <xf numFmtId="2" fontId="0" fillId="0" borderId="118" xfId="0" applyNumberFormat="1" applyBorder="1" applyProtection="1"/>
    <xf numFmtId="2" fontId="0" fillId="0" borderId="115" xfId="0" applyNumberFormat="1" applyBorder="1" applyProtection="1"/>
    <xf numFmtId="2" fontId="0" fillId="0" borderId="102" xfId="0" applyNumberFormat="1" applyBorder="1" applyProtection="1"/>
    <xf numFmtId="2" fontId="0" fillId="0" borderId="103" xfId="0" applyNumberFormat="1" applyBorder="1" applyProtection="1"/>
    <xf numFmtId="2" fontId="0" fillId="0" borderId="104" xfId="0" applyNumberFormat="1" applyBorder="1" applyProtection="1"/>
    <xf numFmtId="2" fontId="0" fillId="0" borderId="111" xfId="0" applyNumberFormat="1" applyBorder="1" applyProtection="1"/>
    <xf numFmtId="2" fontId="0" fillId="0" borderId="107" xfId="0" applyNumberFormat="1" applyBorder="1" applyProtection="1"/>
    <xf numFmtId="165" fontId="0" fillId="0" borderId="0" xfId="0" applyNumberFormat="1" applyProtection="1"/>
    <xf numFmtId="165" fontId="0" fillId="0" borderId="142" xfId="0" applyNumberFormat="1" applyBorder="1" applyProtection="1"/>
    <xf numFmtId="0" fontId="2" fillId="0" borderId="217" xfId="0" applyFont="1" applyBorder="1" applyAlignment="1" applyProtection="1">
      <alignment horizontal="center"/>
    </xf>
    <xf numFmtId="0" fontId="0" fillId="0" borderId="138" xfId="0" applyBorder="1" applyProtection="1"/>
    <xf numFmtId="2" fontId="0" fillId="0" borderId="116" xfId="0" applyNumberFormat="1" applyBorder="1" applyProtection="1"/>
    <xf numFmtId="2" fontId="0" fillId="0" borderId="121" xfId="0" applyNumberFormat="1" applyBorder="1" applyProtection="1"/>
    <xf numFmtId="2" fontId="0" fillId="0" borderId="117" xfId="0" applyNumberFormat="1" applyBorder="1" applyProtection="1"/>
    <xf numFmtId="0" fontId="2" fillId="0" borderId="218" xfId="0" applyFont="1" applyBorder="1" applyAlignment="1" applyProtection="1">
      <alignment horizontal="center"/>
    </xf>
    <xf numFmtId="0" fontId="0" fillId="0" borderId="139" xfId="0" applyBorder="1" applyProtection="1"/>
    <xf numFmtId="2" fontId="0" fillId="0" borderId="119" xfId="0" applyNumberFormat="1" applyBorder="1" applyProtection="1"/>
    <xf numFmtId="2" fontId="0" fillId="0" borderId="122" xfId="0" applyNumberFormat="1" applyBorder="1" applyProtection="1"/>
    <xf numFmtId="2" fontId="0" fillId="0" borderId="120" xfId="0" applyNumberFormat="1" applyBorder="1" applyProtection="1"/>
    <xf numFmtId="0" fontId="2" fillId="0" borderId="219" xfId="0" applyFont="1" applyBorder="1" applyAlignment="1" applyProtection="1">
      <alignment horizontal="center"/>
    </xf>
    <xf numFmtId="0" fontId="0" fillId="0" borderId="123" xfId="0" applyBorder="1" applyProtection="1"/>
    <xf numFmtId="0" fontId="0" fillId="0" borderId="166" xfId="0" applyBorder="1" applyProtection="1"/>
    <xf numFmtId="4" fontId="0" fillId="0" borderId="170" xfId="0" applyNumberFormat="1" applyBorder="1" applyProtection="1"/>
    <xf numFmtId="0" fontId="0" fillId="0" borderId="173" xfId="0" applyBorder="1" applyProtection="1"/>
    <xf numFmtId="0" fontId="0" fillId="0" borderId="174" xfId="0" applyBorder="1" applyProtection="1"/>
    <xf numFmtId="0" fontId="0" fillId="0" borderId="216" xfId="0" applyBorder="1" applyProtection="1"/>
    <xf numFmtId="0" fontId="0" fillId="0" borderId="167" xfId="0" applyBorder="1" applyProtection="1"/>
    <xf numFmtId="0" fontId="0" fillId="0" borderId="171" xfId="0" applyBorder="1" applyProtection="1"/>
    <xf numFmtId="4" fontId="0" fillId="0" borderId="172" xfId="0" applyNumberFormat="1" applyBorder="1" applyProtection="1"/>
    <xf numFmtId="165" fontId="0" fillId="0" borderId="175" xfId="0" applyNumberFormat="1" applyBorder="1" applyProtection="1"/>
    <xf numFmtId="165" fontId="0" fillId="0" borderId="176" xfId="0" applyNumberFormat="1" applyBorder="1" applyProtection="1"/>
    <xf numFmtId="0" fontId="2" fillId="0" borderId="220" xfId="0" applyFont="1" applyBorder="1" applyAlignment="1" applyProtection="1">
      <alignment horizontal="center"/>
    </xf>
    <xf numFmtId="0" fontId="0" fillId="0" borderId="168" xfId="0" applyBorder="1" applyProtection="1"/>
    <xf numFmtId="0" fontId="2" fillId="0" borderId="221" xfId="0" applyFont="1" applyBorder="1" applyAlignment="1" applyProtection="1">
      <alignment horizontal="center"/>
    </xf>
    <xf numFmtId="0" fontId="0" fillId="0" borderId="169" xfId="0" applyBorder="1" applyProtection="1"/>
    <xf numFmtId="0" fontId="2" fillId="0" borderId="222" xfId="0" applyFont="1" applyBorder="1" applyAlignment="1" applyProtection="1">
      <alignment horizontal="center"/>
    </xf>
    <xf numFmtId="0" fontId="5" fillId="0" borderId="0" xfId="0" applyFont="1" applyProtection="1"/>
    <xf numFmtId="0" fontId="7" fillId="0" borderId="0" xfId="0" applyFont="1" applyProtection="1"/>
    <xf numFmtId="0" fontId="0" fillId="10" borderId="0" xfId="0" applyFill="1" applyProtection="1"/>
    <xf numFmtId="0" fontId="0" fillId="0" borderId="243" xfId="0" applyBorder="1" applyProtection="1"/>
    <xf numFmtId="0" fontId="0" fillId="11" borderId="0" xfId="0" applyFill="1" applyProtection="1"/>
    <xf numFmtId="0" fontId="0" fillId="0" borderId="244" xfId="0" applyBorder="1" applyProtection="1"/>
    <xf numFmtId="0" fontId="0" fillId="8" borderId="0" xfId="0" applyFill="1" applyProtection="1"/>
    <xf numFmtId="0" fontId="0" fillId="0" borderId="245" xfId="0" applyBorder="1" applyProtection="1"/>
    <xf numFmtId="0" fontId="0" fillId="9" borderId="0" xfId="0" applyFill="1" applyProtection="1"/>
    <xf numFmtId="0" fontId="0" fillId="0" borderId="246" xfId="0" applyBorder="1" applyProtection="1"/>
    <xf numFmtId="0" fontId="0" fillId="0" borderId="10" xfId="0" applyBorder="1" applyProtection="1"/>
    <xf numFmtId="0" fontId="4" fillId="0" borderId="227" xfId="0" applyFont="1" applyBorder="1" applyAlignment="1" applyProtection="1">
      <alignment horizontal="center"/>
    </xf>
    <xf numFmtId="0" fontId="0" fillId="0" borderId="242" xfId="0" applyBorder="1" applyProtection="1"/>
    <xf numFmtId="0" fontId="0" fillId="0" borderId="227" xfId="0" applyBorder="1" applyProtection="1"/>
    <xf numFmtId="0" fontId="0" fillId="0" borderId="13" xfId="0" applyBorder="1" applyProtection="1"/>
    <xf numFmtId="0" fontId="0" fillId="0" borderId="214" xfId="0" applyBorder="1" applyProtection="1"/>
    <xf numFmtId="2" fontId="0" fillId="8" borderId="214" xfId="0" applyNumberFormat="1" applyFill="1" applyBorder="1" applyProtection="1"/>
    <xf numFmtId="0" fontId="0" fillId="0" borderId="214" xfId="0" applyBorder="1" applyAlignment="1" applyProtection="1">
      <alignment horizontal="center"/>
    </xf>
    <xf numFmtId="2" fontId="0" fillId="0" borderId="214" xfId="0" applyNumberFormat="1" applyBorder="1" applyProtection="1"/>
    <xf numFmtId="0" fontId="0" fillId="0" borderId="215" xfId="0" applyBorder="1" applyProtection="1"/>
    <xf numFmtId="4" fontId="0" fillId="8" borderId="215" xfId="0" applyNumberFormat="1" applyFill="1" applyBorder="1" applyProtection="1"/>
    <xf numFmtId="0" fontId="0" fillId="0" borderId="215" xfId="0" applyBorder="1" applyAlignment="1" applyProtection="1">
      <alignment horizontal="center"/>
    </xf>
    <xf numFmtId="165" fontId="0" fillId="9" borderId="0" xfId="0" applyNumberFormat="1" applyFill="1" applyProtection="1"/>
    <xf numFmtId="0" fontId="2" fillId="9" borderId="217" xfId="0" applyFont="1" applyFill="1" applyBorder="1" applyAlignment="1" applyProtection="1">
      <alignment horizontal="center"/>
    </xf>
    <xf numFmtId="0" fontId="2" fillId="9" borderId="218" xfId="0" applyFont="1" applyFill="1" applyBorder="1" applyAlignment="1" applyProtection="1">
      <alignment horizontal="center"/>
    </xf>
    <xf numFmtId="0" fontId="2" fillId="9" borderId="219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/>
    <xf numFmtId="0" fontId="9" fillId="0" borderId="247" xfId="0" applyFont="1" applyBorder="1" applyAlignment="1">
      <alignment horizontal="center" wrapText="1"/>
    </xf>
    <xf numFmtId="0" fontId="0" fillId="0" borderId="247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371476</xdr:colOff>
      <xdr:row>2</xdr:row>
      <xdr:rowOff>190500</xdr:rowOff>
    </xdr:from>
    <xdr:to>
      <xdr:col>18</xdr:col>
      <xdr:colOff>219075</xdr:colOff>
      <xdr:row>38</xdr:row>
      <xdr:rowOff>45311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457200"/>
          <a:ext cx="5943599" cy="6722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C17" sqref="C17"/>
    </sheetView>
  </sheetViews>
  <sheetFormatPr defaultRowHeight="15"/>
  <cols>
    <col min="1" max="1" width="9.140625" style="17"/>
    <col min="2" max="2" width="18" style="17" customWidth="1"/>
    <col min="3" max="3" width="8.5703125" style="17" bestFit="1" customWidth="1"/>
    <col min="4" max="5" width="8" style="17" customWidth="1"/>
    <col min="6" max="16384" width="9.140625" style="17"/>
  </cols>
  <sheetData>
    <row r="1" spans="1:10" ht="21">
      <c r="A1" s="266" t="s">
        <v>121</v>
      </c>
    </row>
    <row r="2" spans="1:10" ht="21">
      <c r="A2" s="266" t="s">
        <v>138</v>
      </c>
      <c r="J2" s="17" t="s">
        <v>139</v>
      </c>
    </row>
    <row r="3" spans="1:10" ht="15.75">
      <c r="A3" s="267" t="s">
        <v>140</v>
      </c>
    </row>
    <row r="4" spans="1:10">
      <c r="B4" s="22" t="s">
        <v>0</v>
      </c>
    </row>
    <row r="5" spans="1:10">
      <c r="C5" s="268" t="s">
        <v>1</v>
      </c>
    </row>
    <row r="6" spans="1:10">
      <c r="B6" s="17" t="s">
        <v>2</v>
      </c>
      <c r="C6" s="2">
        <v>110</v>
      </c>
      <c r="D6" s="26" t="s">
        <v>3</v>
      </c>
    </row>
    <row r="7" spans="1:10">
      <c r="B7" s="17" t="s">
        <v>4</v>
      </c>
      <c r="C7" s="3">
        <v>30</v>
      </c>
      <c r="D7" s="29" t="s">
        <v>5</v>
      </c>
      <c r="G7" s="268"/>
      <c r="H7" s="269" t="s">
        <v>6</v>
      </c>
    </row>
    <row r="8" spans="1:10">
      <c r="C8" s="1" t="s">
        <v>1</v>
      </c>
      <c r="G8" s="270"/>
      <c r="H8" s="271" t="s">
        <v>7</v>
      </c>
    </row>
    <row r="9" spans="1:10">
      <c r="B9" s="17" t="s">
        <v>8</v>
      </c>
      <c r="C9" s="4">
        <v>0</v>
      </c>
      <c r="D9" s="31" t="s">
        <v>9</v>
      </c>
      <c r="G9" s="272"/>
      <c r="H9" s="273" t="s">
        <v>10</v>
      </c>
    </row>
    <row r="10" spans="1:10">
      <c r="C10" s="1" t="s">
        <v>1</v>
      </c>
      <c r="G10" s="274"/>
      <c r="H10" s="275" t="s">
        <v>11</v>
      </c>
    </row>
    <row r="11" spans="1:10">
      <c r="B11" s="17" t="s">
        <v>12</v>
      </c>
      <c r="C11" s="5">
        <v>300</v>
      </c>
      <c r="D11" s="33" t="s">
        <v>13</v>
      </c>
    </row>
    <row r="12" spans="1:10">
      <c r="C12" s="1" t="s">
        <v>1</v>
      </c>
    </row>
    <row r="13" spans="1:10">
      <c r="B13" s="17" t="s">
        <v>14</v>
      </c>
      <c r="C13" s="6">
        <v>8</v>
      </c>
      <c r="D13" s="276" t="s">
        <v>9</v>
      </c>
      <c r="E13" s="277" t="s">
        <v>15</v>
      </c>
      <c r="F13" s="278" t="s">
        <v>1</v>
      </c>
    </row>
    <row r="14" spans="1:10">
      <c r="B14" s="17" t="s">
        <v>16</v>
      </c>
      <c r="C14" s="7">
        <v>3</v>
      </c>
      <c r="D14" s="38" t="s">
        <v>9</v>
      </c>
      <c r="E14" s="277" t="s">
        <v>17</v>
      </c>
    </row>
    <row r="15" spans="1:10">
      <c r="C15" s="7" t="s">
        <v>1</v>
      </c>
      <c r="D15" s="38" t="s">
        <v>1</v>
      </c>
      <c r="E15" s="279" t="s">
        <v>1</v>
      </c>
    </row>
    <row r="16" spans="1:10">
      <c r="B16" s="17" t="s">
        <v>18</v>
      </c>
      <c r="C16" s="7">
        <v>0.35</v>
      </c>
      <c r="D16" s="38" t="s">
        <v>1</v>
      </c>
    </row>
    <row r="17" spans="2:6">
      <c r="B17" s="17" t="s">
        <v>19</v>
      </c>
      <c r="C17" s="8">
        <v>0.5</v>
      </c>
    </row>
    <row r="18" spans="2:6">
      <c r="C18" s="8" t="s">
        <v>1</v>
      </c>
    </row>
    <row r="19" spans="2:6">
      <c r="B19" s="22" t="s">
        <v>20</v>
      </c>
      <c r="C19" s="8" t="s">
        <v>1</v>
      </c>
    </row>
    <row r="20" spans="2:6">
      <c r="B20" s="17" t="s">
        <v>21</v>
      </c>
      <c r="C20" s="8">
        <v>2500</v>
      </c>
      <c r="D20" s="46" t="s">
        <v>22</v>
      </c>
    </row>
    <row r="21" spans="2:6">
      <c r="B21" s="17" t="s">
        <v>23</v>
      </c>
      <c r="C21" s="8">
        <v>50000</v>
      </c>
      <c r="D21" s="48" t="s">
        <v>22</v>
      </c>
    </row>
    <row r="22" spans="2:6">
      <c r="B22" s="17" t="s">
        <v>24</v>
      </c>
      <c r="C22" s="8">
        <v>150</v>
      </c>
      <c r="D22" s="48" t="s">
        <v>3</v>
      </c>
    </row>
    <row r="23" spans="2:6">
      <c r="C23" s="280" t="s">
        <v>1</v>
      </c>
    </row>
    <row r="24" spans="2:6">
      <c r="B24" s="22" t="s">
        <v>25</v>
      </c>
    </row>
    <row r="26" spans="2:6">
      <c r="B26" s="17" t="s">
        <v>26</v>
      </c>
      <c r="C26" s="52">
        <f>C13+C14</f>
        <v>11</v>
      </c>
      <c r="D26" s="53" t="str">
        <f>D14</f>
        <v>ft</v>
      </c>
    </row>
    <row r="27" spans="2:6">
      <c r="B27" s="17" t="s">
        <v>27</v>
      </c>
      <c r="C27" s="56">
        <f>0.08*C26</f>
        <v>0.88</v>
      </c>
      <c r="D27" s="57" t="str">
        <f>D26</f>
        <v>ft</v>
      </c>
      <c r="E27" s="9">
        <v>1</v>
      </c>
      <c r="F27" s="59" t="s">
        <v>28</v>
      </c>
    </row>
    <row r="28" spans="2:6">
      <c r="B28" s="17" t="s">
        <v>29</v>
      </c>
      <c r="C28" s="62">
        <f>0.53*C26</f>
        <v>5.83</v>
      </c>
      <c r="D28" s="63" t="str">
        <f>D26</f>
        <v>ft</v>
      </c>
      <c r="E28" s="10">
        <v>7</v>
      </c>
      <c r="F28" s="65" t="s">
        <v>30</v>
      </c>
    </row>
    <row r="29" spans="2:6">
      <c r="B29" s="17" t="s">
        <v>31</v>
      </c>
      <c r="C29" s="62">
        <f>0.17*C26</f>
        <v>1.87</v>
      </c>
      <c r="D29" s="63" t="str">
        <f>D26</f>
        <v>ft</v>
      </c>
      <c r="E29" s="10">
        <v>1.25</v>
      </c>
      <c r="F29" s="69" t="s">
        <v>32</v>
      </c>
    </row>
    <row r="30" spans="2:6">
      <c r="B30" s="17" t="s">
        <v>33</v>
      </c>
      <c r="C30" s="72" t="s">
        <v>1</v>
      </c>
      <c r="E30" s="11" t="s">
        <v>1</v>
      </c>
      <c r="F30" s="74" t="s">
        <v>1</v>
      </c>
    </row>
    <row r="31" spans="2:6">
      <c r="B31" s="17" t="s">
        <v>34</v>
      </c>
      <c r="C31" s="11">
        <v>8</v>
      </c>
      <c r="D31" s="78" t="s">
        <v>35</v>
      </c>
      <c r="E31" s="11">
        <v>8</v>
      </c>
      <c r="F31" s="80" t="s">
        <v>36</v>
      </c>
    </row>
    <row r="32" spans="2:6">
      <c r="B32" s="17" t="s">
        <v>37</v>
      </c>
      <c r="C32" s="83">
        <f>C31+0.25*(C26-E27)</f>
        <v>10.5</v>
      </c>
      <c r="D32" s="84" t="str">
        <f>D31</f>
        <v>in</v>
      </c>
      <c r="E32" s="12">
        <v>12</v>
      </c>
      <c r="F32" s="86" t="s">
        <v>38</v>
      </c>
    </row>
    <row r="34" spans="2:15">
      <c r="B34" s="281" t="str">
        <f>Sheet1!B60</f>
        <v>Safety against overturning</v>
      </c>
      <c r="E34" s="282">
        <f>Sheet1!E60</f>
        <v>2.6125592417061614</v>
      </c>
      <c r="F34" s="283" t="str">
        <f>Sheet1!F60</f>
        <v>&gt;</v>
      </c>
      <c r="G34" s="281">
        <f>Sheet1!G60</f>
        <v>2</v>
      </c>
    </row>
    <row r="35" spans="2:15">
      <c r="B35" s="281" t="str">
        <f>Sheet1!B61</f>
        <v>Base eccen.</v>
      </c>
      <c r="E35" s="282">
        <f>Sheet1!E61</f>
        <v>2.4861262077294688</v>
      </c>
      <c r="F35" s="283" t="str">
        <f>Sheet1!F61</f>
        <v>&gt;</v>
      </c>
      <c r="G35" s="284">
        <f>Sheet1!G61</f>
        <v>2.3333333333333335</v>
      </c>
    </row>
    <row r="37" spans="2:15">
      <c r="B37" s="285" t="str">
        <f>Sheet1!B71</f>
        <v>SF against sliding</v>
      </c>
      <c r="C37" s="286">
        <f>Sheet1!C71</f>
        <v>1.4178804620793573</v>
      </c>
      <c r="D37" s="287" t="str">
        <f>Sheet1!D71</f>
        <v>&gt;</v>
      </c>
      <c r="E37" s="285">
        <f>Sheet1!E71</f>
        <v>1.5</v>
      </c>
    </row>
    <row r="38" spans="2:15">
      <c r="B38" s="285" t="s">
        <v>141</v>
      </c>
      <c r="C38" s="285" t="str">
        <f>Sheet1!C72</f>
        <v/>
      </c>
      <c r="D38" s="285" t="s">
        <v>1</v>
      </c>
      <c r="E38" s="285" t="s">
        <v>1</v>
      </c>
    </row>
    <row r="39" spans="2:15">
      <c r="B39" s="285" t="s">
        <v>1</v>
      </c>
      <c r="C39" s="17" t="str">
        <f>Sheet1!C94</f>
        <v>Mu</v>
      </c>
      <c r="D39" s="285" t="s">
        <v>1</v>
      </c>
      <c r="E39" s="17" t="str">
        <f>Sheet1!E94</f>
        <v>b</v>
      </c>
      <c r="F39" s="17" t="str">
        <f>Sheet1!F94</f>
        <v>h</v>
      </c>
      <c r="G39" s="17" t="str">
        <f>Sheet1!G94</f>
        <v>d</v>
      </c>
      <c r="H39" s="17" t="str">
        <f>Sheet1!H94</f>
        <v>Ru</v>
      </c>
      <c r="I39" s="17" t="str">
        <f>Sheet1!I94</f>
        <v>ro</v>
      </c>
      <c r="J39" s="17" t="str">
        <f>Sheet1!J94</f>
        <v>Ru(psi)</v>
      </c>
      <c r="K39" s="17" t="str">
        <f>Sheet1!K94</f>
        <v>As(sqin)</v>
      </c>
      <c r="L39" s="17" t="str">
        <f>Sheet1!L94</f>
        <v>Asmin</v>
      </c>
      <c r="M39" s="17" t="str">
        <f>Sheet1!M94</f>
        <v>db(in)</v>
      </c>
      <c r="N39" s="17" t="str">
        <f>Sheet1!N94</f>
        <v>spc(in)</v>
      </c>
    </row>
    <row r="40" spans="2:15">
      <c r="B40" s="17" t="str">
        <f>Sheet1!B95</f>
        <v>Stem</v>
      </c>
      <c r="C40" s="72">
        <f>Sheet1!C95</f>
        <v>17777.777777777777</v>
      </c>
      <c r="D40" s="72" t="str">
        <f>Sheet1!D95</f>
        <v>lb-ft</v>
      </c>
      <c r="E40" s="72">
        <f>Sheet1!E95</f>
        <v>12</v>
      </c>
      <c r="F40" s="72">
        <f>Sheet1!F95</f>
        <v>12</v>
      </c>
      <c r="G40" s="72">
        <f>Sheet1!G95</f>
        <v>9.5</v>
      </c>
      <c r="H40" s="72">
        <f>Sheet1!H95</f>
        <v>196.98368728839642</v>
      </c>
      <c r="I40" s="13">
        <v>5.0000000000000001E-3</v>
      </c>
      <c r="J40" s="72">
        <f>Sheet1!J95</f>
        <v>200.00000000000003</v>
      </c>
      <c r="K40" s="237">
        <f>Sheet1!K95</f>
        <v>0.56999999999999995</v>
      </c>
      <c r="L40" s="237">
        <f>Sheet1!L95</f>
        <v>0.21600000000000003</v>
      </c>
      <c r="M40" s="14">
        <v>0.75</v>
      </c>
      <c r="N40" s="288">
        <f>Sheet1!N95</f>
        <v>9.3007677244434674</v>
      </c>
      <c r="O40" s="289" t="s">
        <v>39</v>
      </c>
    </row>
    <row r="41" spans="2:15">
      <c r="B41" s="17" t="str">
        <f>Sheet1!B96</f>
        <v>Toe</v>
      </c>
      <c r="C41" s="72">
        <f>Sheet1!C96</f>
        <v>2900.5927073210241</v>
      </c>
      <c r="D41" s="72" t="str">
        <f>Sheet1!D96</f>
        <v>lb-ft</v>
      </c>
      <c r="E41" s="72">
        <f>Sheet1!E96</f>
        <v>12</v>
      </c>
      <c r="F41" s="72">
        <f>Sheet1!F96</f>
        <v>12</v>
      </c>
      <c r="G41" s="72">
        <f>Sheet1!G96</f>
        <v>9.5</v>
      </c>
      <c r="H41" s="72">
        <f>Sheet1!H96</f>
        <v>32.13953138305844</v>
      </c>
      <c r="I41" s="13">
        <v>1E-3</v>
      </c>
      <c r="J41" s="72">
        <f>Sheet1!J96</f>
        <v>42</v>
      </c>
      <c r="K41" s="237">
        <f>Sheet1!K96</f>
        <v>0.114</v>
      </c>
      <c r="L41" s="237">
        <f>Sheet1!L96</f>
        <v>0.21600000000000003</v>
      </c>
      <c r="M41" s="14">
        <v>0.5</v>
      </c>
      <c r="N41" s="288">
        <f>Sheet1!N96</f>
        <v>10.90830782496456</v>
      </c>
      <c r="O41" s="290" t="s">
        <v>40</v>
      </c>
    </row>
    <row r="42" spans="2:15">
      <c r="B42" s="17" t="str">
        <f>Sheet1!B97</f>
        <v>Heel</v>
      </c>
      <c r="C42" s="72">
        <f>Sheet1!C97</f>
        <v>17429.53125</v>
      </c>
      <c r="D42" s="72" t="str">
        <f>Sheet1!D97</f>
        <v>lb-ft</v>
      </c>
      <c r="E42" s="72">
        <f>Sheet1!E97</f>
        <v>12</v>
      </c>
      <c r="F42" s="72">
        <f>Sheet1!F97</f>
        <v>12</v>
      </c>
      <c r="G42" s="72">
        <f>Sheet1!G97</f>
        <v>9.5</v>
      </c>
      <c r="H42" s="72">
        <f>Sheet1!H97</f>
        <v>193.125</v>
      </c>
      <c r="I42" s="13">
        <v>5.0000000000000001E-3</v>
      </c>
      <c r="J42" s="72">
        <f>Sheet1!J97</f>
        <v>200.00000000000003</v>
      </c>
      <c r="K42" s="237">
        <f>Sheet1!K97</f>
        <v>0.56999999999999995</v>
      </c>
      <c r="L42" s="237">
        <f>Sheet1!L97</f>
        <v>0.21600000000000003</v>
      </c>
      <c r="M42" s="14">
        <v>0.625</v>
      </c>
      <c r="N42" s="288">
        <f>Sheet1!N97</f>
        <v>6.4588664753079641</v>
      </c>
      <c r="O42" s="291" t="s">
        <v>41</v>
      </c>
    </row>
    <row r="43" spans="2:15">
      <c r="B43" s="17" t="s">
        <v>1</v>
      </c>
      <c r="C43" s="17" t="s">
        <v>1</v>
      </c>
      <c r="D43" s="17" t="s">
        <v>1</v>
      </c>
    </row>
    <row r="44" spans="2:15">
      <c r="B44" s="17" t="str">
        <f>Sheet1!B99</f>
        <v>Distribution bars</v>
      </c>
    </row>
    <row r="45" spans="2:15">
      <c r="C45" s="17" t="str">
        <f>Sheet1!C100</f>
        <v>h</v>
      </c>
      <c r="D45" s="17" t="str">
        <f>Sheet1!D100</f>
        <v>Asmin</v>
      </c>
      <c r="E45" s="17" t="str">
        <f>Sheet1!E100</f>
        <v>0.5As</v>
      </c>
      <c r="F45" s="17" t="str">
        <f>Sheet1!F100</f>
        <v>db</v>
      </c>
      <c r="G45" s="17" t="str">
        <f>Sheet1!G100</f>
        <v>spc(in)</v>
      </c>
    </row>
    <row r="46" spans="2:15">
      <c r="B46" s="17" t="str">
        <f>Sheet1!B101</f>
        <v>Stem</v>
      </c>
      <c r="C46" s="17">
        <f>Sheet1!C101</f>
        <v>12</v>
      </c>
      <c r="D46" s="237">
        <f>Sheet1!D101</f>
        <v>0.28800000000000003</v>
      </c>
      <c r="E46" s="237">
        <f>Sheet1!E101</f>
        <v>0.28499999999999998</v>
      </c>
      <c r="F46" s="14">
        <v>0.5</v>
      </c>
      <c r="G46" s="288">
        <f>Sheet1!G101</f>
        <v>8.1812308687234179</v>
      </c>
      <c r="H46" s="289" t="s">
        <v>42</v>
      </c>
    </row>
    <row r="47" spans="2:15">
      <c r="B47" s="17" t="str">
        <f>Sheet1!B102</f>
        <v>Toe</v>
      </c>
      <c r="C47" s="17">
        <f>Sheet1!C102</f>
        <v>12</v>
      </c>
      <c r="D47" s="237">
        <f>Sheet1!D102</f>
        <v>0.28800000000000003</v>
      </c>
      <c r="E47" s="237">
        <f>Sheet1!E102</f>
        <v>5.7000000000000002E-2</v>
      </c>
      <c r="F47" s="14">
        <v>0.5</v>
      </c>
      <c r="G47" s="288">
        <f>Sheet1!G102</f>
        <v>8.1812308687234179</v>
      </c>
      <c r="H47" s="290" t="s">
        <v>43</v>
      </c>
    </row>
    <row r="48" spans="2:15">
      <c r="B48" s="17" t="str">
        <f>Sheet1!B103</f>
        <v>Heel</v>
      </c>
      <c r="C48" s="17">
        <f>Sheet1!C103</f>
        <v>12</v>
      </c>
      <c r="D48" s="237">
        <f>Sheet1!D103</f>
        <v>0.28800000000000003</v>
      </c>
      <c r="E48" s="237">
        <f>Sheet1!E103</f>
        <v>0.28499999999999998</v>
      </c>
      <c r="F48" s="14">
        <v>0.5</v>
      </c>
      <c r="G48" s="288">
        <f>Sheet1!G103</f>
        <v>8.1812308687234179</v>
      </c>
      <c r="H48" s="291" t="s">
        <v>44</v>
      </c>
    </row>
  </sheetData>
  <sheetProtection password="CC88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activeCell="A7" sqref="A1:XFD1048576"/>
    </sheetView>
  </sheetViews>
  <sheetFormatPr defaultRowHeight="15"/>
  <cols>
    <col min="1" max="1" width="9.140625" style="17"/>
    <col min="2" max="2" width="16" style="17" customWidth="1"/>
    <col min="3" max="4" width="8" style="17" customWidth="1"/>
    <col min="5" max="5" width="11.7109375" style="18" bestFit="1" customWidth="1"/>
    <col min="6" max="8" width="9.140625" style="17"/>
    <col min="9" max="10" width="8" style="17" customWidth="1"/>
    <col min="11" max="16384" width="9.140625" style="17"/>
  </cols>
  <sheetData>
    <row r="1" spans="1:6" ht="21">
      <c r="A1" s="15" t="s">
        <v>121</v>
      </c>
      <c r="B1" s="16" t="s">
        <v>45</v>
      </c>
      <c r="E1" s="18" t="s">
        <v>1</v>
      </c>
    </row>
    <row r="2" spans="1:6" ht="15.75">
      <c r="A2" s="19" t="s">
        <v>122</v>
      </c>
      <c r="B2" s="20"/>
    </row>
    <row r="3" spans="1:6">
      <c r="A3" s="21"/>
      <c r="B3" s="22" t="s">
        <v>0</v>
      </c>
    </row>
    <row r="4" spans="1:6">
      <c r="C4" s="23"/>
    </row>
    <row r="5" spans="1:6">
      <c r="A5" s="24"/>
      <c r="B5" s="17" t="s">
        <v>46</v>
      </c>
      <c r="C5" s="25">
        <f>Input!C6</f>
        <v>110</v>
      </c>
      <c r="D5" s="26" t="s">
        <v>3</v>
      </c>
      <c r="F5" s="27" t="s">
        <v>1</v>
      </c>
    </row>
    <row r="6" spans="1:6">
      <c r="A6" s="28"/>
      <c r="B6" s="17" t="s">
        <v>4</v>
      </c>
      <c r="C6" s="25">
        <f>Input!C7</f>
        <v>30</v>
      </c>
      <c r="D6" s="29" t="s">
        <v>5</v>
      </c>
    </row>
    <row r="7" spans="1:6">
      <c r="C7" s="25" t="s">
        <v>1</v>
      </c>
    </row>
    <row r="8" spans="1:6">
      <c r="A8" s="30"/>
      <c r="B8" s="17" t="s">
        <v>8</v>
      </c>
      <c r="C8" s="25">
        <f>Input!C9</f>
        <v>0</v>
      </c>
      <c r="D8" s="31" t="s">
        <v>9</v>
      </c>
    </row>
    <row r="9" spans="1:6">
      <c r="C9" s="25" t="s">
        <v>1</v>
      </c>
    </row>
    <row r="10" spans="1:6">
      <c r="A10" s="32"/>
      <c r="B10" s="17" t="s">
        <v>12</v>
      </c>
      <c r="C10" s="25">
        <f>Input!C11</f>
        <v>300</v>
      </c>
      <c r="D10" s="33" t="s">
        <v>13</v>
      </c>
    </row>
    <row r="11" spans="1:6">
      <c r="C11" s="25" t="s">
        <v>1</v>
      </c>
    </row>
    <row r="12" spans="1:6">
      <c r="A12" s="34"/>
      <c r="B12" s="17" t="s">
        <v>14</v>
      </c>
      <c r="C12" s="25">
        <f>Input!C13</f>
        <v>8</v>
      </c>
      <c r="D12" s="35" t="s">
        <v>9</v>
      </c>
      <c r="E12" s="36" t="s">
        <v>15</v>
      </c>
    </row>
    <row r="13" spans="1:6">
      <c r="A13" s="37"/>
      <c r="B13" s="17" t="s">
        <v>16</v>
      </c>
      <c r="C13" s="25">
        <f>Input!C14</f>
        <v>3</v>
      </c>
      <c r="D13" s="38" t="s">
        <v>9</v>
      </c>
      <c r="E13" s="39" t="s">
        <v>17</v>
      </c>
    </row>
    <row r="14" spans="1:6">
      <c r="C14" s="25" t="s">
        <v>1</v>
      </c>
      <c r="D14" s="38"/>
      <c r="E14" s="40"/>
    </row>
    <row r="15" spans="1:6">
      <c r="A15" s="41"/>
      <c r="B15" s="17" t="s">
        <v>18</v>
      </c>
      <c r="C15" s="25">
        <f>Input!C16</f>
        <v>0.35</v>
      </c>
      <c r="D15" s="38"/>
      <c r="E15" s="17"/>
    </row>
    <row r="16" spans="1:6">
      <c r="A16" s="42"/>
      <c r="B16" s="17" t="s">
        <v>19</v>
      </c>
      <c r="C16" s="25">
        <f>Input!C17</f>
        <v>0.5</v>
      </c>
      <c r="E16" s="43" t="s">
        <v>1</v>
      </c>
    </row>
    <row r="17" spans="1:7">
      <c r="C17" s="25" t="s">
        <v>1</v>
      </c>
      <c r="E17" s="17"/>
    </row>
    <row r="18" spans="1:7">
      <c r="A18" s="44"/>
      <c r="B18" s="22" t="s">
        <v>20</v>
      </c>
      <c r="C18" s="25" t="s">
        <v>1</v>
      </c>
      <c r="E18" s="17"/>
    </row>
    <row r="19" spans="1:7">
      <c r="A19" s="45"/>
      <c r="B19" s="17" t="s">
        <v>21</v>
      </c>
      <c r="C19" s="25">
        <f>Input!C20</f>
        <v>2500</v>
      </c>
      <c r="D19" s="46" t="s">
        <v>22</v>
      </c>
      <c r="E19" s="17"/>
    </row>
    <row r="20" spans="1:7">
      <c r="A20" s="47"/>
      <c r="B20" s="17" t="s">
        <v>23</v>
      </c>
      <c r="C20" s="25">
        <f>Input!C21</f>
        <v>50000</v>
      </c>
      <c r="D20" s="48" t="s">
        <v>22</v>
      </c>
      <c r="E20" s="17"/>
    </row>
    <row r="21" spans="1:7">
      <c r="A21" s="49"/>
      <c r="B21" s="17" t="s">
        <v>24</v>
      </c>
      <c r="C21" s="25">
        <f>Input!C22</f>
        <v>150</v>
      </c>
      <c r="D21" s="48" t="s">
        <v>3</v>
      </c>
      <c r="E21" s="17"/>
    </row>
    <row r="22" spans="1:7">
      <c r="C22" s="25" t="s">
        <v>1</v>
      </c>
      <c r="E22" s="17"/>
    </row>
    <row r="23" spans="1:7">
      <c r="A23" s="50"/>
      <c r="B23" s="22" t="s">
        <v>25</v>
      </c>
    </row>
    <row r="25" spans="1:7">
      <c r="A25" s="51"/>
      <c r="B25" s="17" t="s">
        <v>26</v>
      </c>
      <c r="C25" s="52">
        <f>C12+C13</f>
        <v>11</v>
      </c>
      <c r="D25" s="53" t="str">
        <f>D13</f>
        <v>ft</v>
      </c>
      <c r="F25" s="54"/>
    </row>
    <row r="26" spans="1:7">
      <c r="A26" s="55"/>
      <c r="B26" s="17" t="s">
        <v>27</v>
      </c>
      <c r="C26" s="56">
        <f>0.08*C25</f>
        <v>0.88</v>
      </c>
      <c r="D26" s="57" t="str">
        <f>D25</f>
        <v>ft</v>
      </c>
      <c r="E26" s="58">
        <f>Input!E27</f>
        <v>1</v>
      </c>
      <c r="F26" s="59" t="s">
        <v>28</v>
      </c>
      <c r="G26" s="60"/>
    </row>
    <row r="27" spans="1:7">
      <c r="A27" s="61"/>
      <c r="B27" s="17" t="s">
        <v>29</v>
      </c>
      <c r="C27" s="62">
        <f>0.53*C25</f>
        <v>5.83</v>
      </c>
      <c r="D27" s="63" t="str">
        <f>D25</f>
        <v>ft</v>
      </c>
      <c r="E27" s="64">
        <f>Input!E28</f>
        <v>7</v>
      </c>
      <c r="F27" s="65" t="s">
        <v>30</v>
      </c>
      <c r="G27" s="66"/>
    </row>
    <row r="28" spans="1:7">
      <c r="A28" s="67"/>
      <c r="B28" s="17" t="s">
        <v>31</v>
      </c>
      <c r="C28" s="62">
        <f>0.17*C25</f>
        <v>1.87</v>
      </c>
      <c r="D28" s="63" t="str">
        <f>D25</f>
        <v>ft</v>
      </c>
      <c r="E28" s="68">
        <f>Input!E29</f>
        <v>1.25</v>
      </c>
      <c r="F28" s="69" t="s">
        <v>32</v>
      </c>
      <c r="G28" s="70"/>
    </row>
    <row r="29" spans="1:7">
      <c r="A29" s="71"/>
      <c r="B29" s="17" t="s">
        <v>33</v>
      </c>
      <c r="C29" s="72" t="s">
        <v>1</v>
      </c>
      <c r="E29" s="73" t="s">
        <v>1</v>
      </c>
      <c r="F29" s="74"/>
      <c r="G29" s="75"/>
    </row>
    <row r="30" spans="1:7">
      <c r="A30" s="76"/>
      <c r="B30" s="17" t="s">
        <v>34</v>
      </c>
      <c r="C30" s="77">
        <v>12</v>
      </c>
      <c r="D30" s="78" t="s">
        <v>35</v>
      </c>
      <c r="E30" s="79">
        <f>Input!E31</f>
        <v>8</v>
      </c>
      <c r="F30" s="80" t="s">
        <v>36</v>
      </c>
      <c r="G30" s="81"/>
    </row>
    <row r="31" spans="1:7">
      <c r="A31" s="82"/>
      <c r="B31" s="17" t="s">
        <v>37</v>
      </c>
      <c r="C31" s="83">
        <f>C30+0.25*(C25-E26)</f>
        <v>14.5</v>
      </c>
      <c r="D31" s="84" t="str">
        <f>D30</f>
        <v>in</v>
      </c>
      <c r="E31" s="85">
        <f>Input!E32</f>
        <v>12</v>
      </c>
      <c r="F31" s="86" t="s">
        <v>38</v>
      </c>
      <c r="G31" s="87"/>
    </row>
    <row r="32" spans="1:7">
      <c r="B32" s="88"/>
      <c r="C32" s="89" t="s">
        <v>1</v>
      </c>
      <c r="D32" s="90"/>
      <c r="E32" s="91"/>
      <c r="F32" s="92"/>
    </row>
    <row r="33" spans="2:6">
      <c r="B33" s="22" t="s">
        <v>47</v>
      </c>
      <c r="C33" s="72" t="s">
        <v>1</v>
      </c>
    </row>
    <row r="34" spans="2:6">
      <c r="B34" s="17" t="s">
        <v>48</v>
      </c>
      <c r="C34" s="93">
        <f>(1-SIN(C6*PI()/180))/(1+SIN(C6*PI()/180))</f>
        <v>0.33333333333333331</v>
      </c>
      <c r="F34" s="94" t="s">
        <v>1</v>
      </c>
    </row>
    <row r="35" spans="2:6">
      <c r="B35" s="17" t="s">
        <v>49</v>
      </c>
      <c r="C35" s="95">
        <f>1/C34</f>
        <v>3</v>
      </c>
    </row>
    <row r="36" spans="2:6">
      <c r="B36" s="17" t="s">
        <v>50</v>
      </c>
      <c r="C36" s="96">
        <f>C10/C5</f>
        <v>2.7272727272727271</v>
      </c>
      <c r="D36" s="97" t="s">
        <v>9</v>
      </c>
    </row>
    <row r="37" spans="2:6">
      <c r="C37" s="72" t="s">
        <v>1</v>
      </c>
    </row>
    <row r="38" spans="2:6">
      <c r="B38" s="22" t="s">
        <v>51</v>
      </c>
      <c r="C38" s="98" t="s">
        <v>1</v>
      </c>
    </row>
    <row r="39" spans="2:6">
      <c r="B39" s="99" t="s">
        <v>52</v>
      </c>
      <c r="C39" s="100">
        <f>C34*C5*C36</f>
        <v>99.999999999999986</v>
      </c>
      <c r="D39" s="101" t="s">
        <v>53</v>
      </c>
    </row>
    <row r="40" spans="2:6">
      <c r="B40" s="17" t="s">
        <v>54</v>
      </c>
      <c r="C40" s="102">
        <f>+C34*C5*C25</f>
        <v>403.33333333333331</v>
      </c>
      <c r="D40" s="103" t="s">
        <v>53</v>
      </c>
    </row>
    <row r="41" spans="2:6">
      <c r="B41" s="17" t="s">
        <v>55</v>
      </c>
      <c r="C41" s="104">
        <f>C34*C5*(C25-E26)</f>
        <v>366.66666666666663</v>
      </c>
      <c r="D41" s="105" t="s">
        <v>53</v>
      </c>
    </row>
    <row r="43" spans="2:6">
      <c r="B43" s="22" t="s">
        <v>56</v>
      </c>
      <c r="C43" s="106" t="s">
        <v>57</v>
      </c>
      <c r="D43" s="107" t="s">
        <v>58</v>
      </c>
      <c r="E43" s="108" t="s">
        <v>59</v>
      </c>
    </row>
    <row r="44" spans="2:6">
      <c r="B44" s="17" t="s">
        <v>60</v>
      </c>
      <c r="C44" s="109">
        <f>C39*(C25)</f>
        <v>1099.9999999999998</v>
      </c>
      <c r="D44" s="110">
        <f>(C25)/2</f>
        <v>5.5</v>
      </c>
      <c r="E44" s="111">
        <f>C44*D44</f>
        <v>6049.9999999999991</v>
      </c>
      <c r="F44" s="112" t="s">
        <v>1</v>
      </c>
    </row>
    <row r="45" spans="2:6">
      <c r="B45" s="17" t="s">
        <v>61</v>
      </c>
      <c r="C45" s="113">
        <f>C40*(C25)/2</f>
        <v>2218.333333333333</v>
      </c>
      <c r="D45" s="114">
        <f>(C25)/3</f>
        <v>3.6666666666666665</v>
      </c>
      <c r="E45" s="111">
        <f>C45*D45</f>
        <v>8133.8888888888878</v>
      </c>
      <c r="F45" s="112" t="s">
        <v>1</v>
      </c>
    </row>
    <row r="46" spans="2:6">
      <c r="C46" s="113" t="s">
        <v>1</v>
      </c>
      <c r="D46" s="114" t="s">
        <v>1</v>
      </c>
      <c r="E46" s="111" t="s">
        <v>1</v>
      </c>
      <c r="F46" s="112" t="s">
        <v>1</v>
      </c>
    </row>
    <row r="47" spans="2:6">
      <c r="B47" s="17" t="s">
        <v>62</v>
      </c>
      <c r="C47" s="113">
        <f>SUM(C44:C45)</f>
        <v>3318.333333333333</v>
      </c>
      <c r="D47" s="114" t="s">
        <v>1</v>
      </c>
      <c r="E47" s="115">
        <f>SUM(E44:E45)</f>
        <v>14183.888888888887</v>
      </c>
      <c r="F47" s="112" t="s">
        <v>1</v>
      </c>
    </row>
    <row r="48" spans="2:6">
      <c r="C48" s="112" t="s">
        <v>1</v>
      </c>
      <c r="D48" s="112" t="s">
        <v>1</v>
      </c>
      <c r="E48" s="112" t="s">
        <v>1</v>
      </c>
      <c r="F48" s="112" t="s">
        <v>1</v>
      </c>
    </row>
    <row r="49" spans="2:7">
      <c r="C49" s="112"/>
      <c r="D49" s="112"/>
      <c r="E49" s="112"/>
      <c r="F49" s="112"/>
    </row>
    <row r="50" spans="2:7">
      <c r="B50" s="22" t="s">
        <v>63</v>
      </c>
      <c r="C50" s="116" t="s">
        <v>64</v>
      </c>
      <c r="D50" s="117" t="s">
        <v>58</v>
      </c>
      <c r="E50" s="118" t="s">
        <v>65</v>
      </c>
    </row>
    <row r="51" spans="2:7">
      <c r="B51" s="17" t="s">
        <v>66</v>
      </c>
      <c r="C51" s="119">
        <f>(C25-E26)*C30/12*C21</f>
        <v>1500</v>
      </c>
      <c r="D51" s="120">
        <f>E28+E31/12-C30/12/2</f>
        <v>1.75</v>
      </c>
      <c r="E51" s="121">
        <f>C51*D51</f>
        <v>2625</v>
      </c>
    </row>
    <row r="52" spans="2:7">
      <c r="B52" s="17" t="s">
        <v>67</v>
      </c>
      <c r="C52" s="122">
        <f>(C25-E26)*(E31-C30)/12*C21/2</f>
        <v>0</v>
      </c>
      <c r="D52" s="123">
        <f>E28+(E31-C30)/12*2/3</f>
        <v>1.25</v>
      </c>
      <c r="E52" s="124">
        <f>C52*D52</f>
        <v>0</v>
      </c>
      <c r="F52" s="125"/>
    </row>
    <row r="53" spans="2:7">
      <c r="B53" s="17" t="s">
        <v>68</v>
      </c>
      <c r="C53" s="126">
        <f>E27*E26*C21</f>
        <v>1050</v>
      </c>
      <c r="D53" s="127">
        <f>E27/2</f>
        <v>3.5</v>
      </c>
      <c r="E53" s="121">
        <f>C53*D53</f>
        <v>3675</v>
      </c>
      <c r="F53" s="128"/>
    </row>
    <row r="54" spans="2:7">
      <c r="B54" s="17" t="s">
        <v>69</v>
      </c>
      <c r="C54" s="129">
        <f>(E27-(E28+E31/12))*(C25-E26+C36)*C5</f>
        <v>6650</v>
      </c>
      <c r="D54" s="130">
        <f>(E28+E31/12+E27)/2</f>
        <v>4.625</v>
      </c>
      <c r="E54" s="121">
        <f>C54*D54</f>
        <v>30756.25</v>
      </c>
    </row>
    <row r="55" spans="2:7">
      <c r="C55" s="72" t="s">
        <v>1</v>
      </c>
      <c r="D55" s="72" t="s">
        <v>1</v>
      </c>
      <c r="E55" s="72" t="s">
        <v>1</v>
      </c>
    </row>
    <row r="56" spans="2:7">
      <c r="B56" s="17" t="s">
        <v>62</v>
      </c>
      <c r="C56" s="131">
        <f>SUM(C51:C54)</f>
        <v>9200</v>
      </c>
      <c r="D56" s="72" t="s">
        <v>1</v>
      </c>
      <c r="E56" s="132">
        <f>SUM(E51:E54)</f>
        <v>37056.25</v>
      </c>
    </row>
    <row r="58" spans="2:7">
      <c r="B58" s="133" t="s">
        <v>70</v>
      </c>
    </row>
    <row r="60" spans="2:7">
      <c r="B60" s="17" t="s">
        <v>71</v>
      </c>
      <c r="E60" s="134">
        <f>E56/E47</f>
        <v>2.6125592417061614</v>
      </c>
      <c r="F60" s="135" t="s">
        <v>72</v>
      </c>
      <c r="G60" s="136">
        <v>2</v>
      </c>
    </row>
    <row r="61" spans="2:7">
      <c r="B61" s="17" t="s">
        <v>73</v>
      </c>
      <c r="E61" s="137">
        <f>(E56-E47)/C56</f>
        <v>2.4861262077294688</v>
      </c>
      <c r="F61" s="138" t="s">
        <v>72</v>
      </c>
      <c r="G61" s="139">
        <f>E27/3</f>
        <v>2.3333333333333335</v>
      </c>
    </row>
    <row r="63" spans="2:7">
      <c r="B63" s="140" t="s">
        <v>74</v>
      </c>
    </row>
    <row r="64" spans="2:7">
      <c r="B64" s="17" t="s">
        <v>75</v>
      </c>
      <c r="C64" s="141">
        <f>E27^3/12</f>
        <v>28.583333333333332</v>
      </c>
      <c r="D64" s="142" t="s">
        <v>76</v>
      </c>
    </row>
    <row r="65" spans="2:10">
      <c r="B65" s="17" t="s">
        <v>77</v>
      </c>
      <c r="C65" s="141">
        <f>E27/2-E61</f>
        <v>1.0138737922705312</v>
      </c>
      <c r="D65" s="142" t="s">
        <v>9</v>
      </c>
      <c r="E65" s="17"/>
      <c r="F65" s="143" t="s">
        <v>1</v>
      </c>
    </row>
    <row r="66" spans="2:10">
      <c r="B66" s="17" t="s">
        <v>78</v>
      </c>
      <c r="C66" s="144">
        <f>C56/E27+C56*E27/2*C65/C64</f>
        <v>2456.4455782312925</v>
      </c>
      <c r="D66" s="145" t="s">
        <v>79</v>
      </c>
      <c r="E66" s="146" t="s">
        <v>80</v>
      </c>
    </row>
    <row r="67" spans="2:10">
      <c r="B67" s="17" t="s">
        <v>81</v>
      </c>
      <c r="C67" s="147">
        <f>C56/E27-C56*E27/2*C65/C64</f>
        <v>172.12585034013614</v>
      </c>
      <c r="D67" s="148" t="s">
        <v>72</v>
      </c>
      <c r="E67" s="149">
        <v>0</v>
      </c>
    </row>
    <row r="68" spans="2:10">
      <c r="C68" s="72" t="s">
        <v>1</v>
      </c>
    </row>
    <row r="69" spans="2:10">
      <c r="B69" s="17" t="s">
        <v>82</v>
      </c>
      <c r="C69" s="150">
        <f>C47</f>
        <v>3318.333333333333</v>
      </c>
      <c r="D69" s="151" t="s">
        <v>83</v>
      </c>
    </row>
    <row r="70" spans="2:10">
      <c r="B70" s="17" t="s">
        <v>84</v>
      </c>
      <c r="C70" s="152">
        <f>C56*C15+C35*C13^2*C5/2</f>
        <v>4705</v>
      </c>
      <c r="D70" s="153" t="s">
        <v>83</v>
      </c>
    </row>
    <row r="71" spans="2:10">
      <c r="B71" s="140" t="s">
        <v>85</v>
      </c>
      <c r="C71" s="154">
        <f>C70/C69</f>
        <v>1.4178804620793573</v>
      </c>
      <c r="D71" s="155" t="s">
        <v>72</v>
      </c>
      <c r="E71" s="156">
        <v>1.5</v>
      </c>
    </row>
    <row r="72" spans="2:10">
      <c r="C72" s="72" t="s">
        <v>1</v>
      </c>
    </row>
    <row r="75" spans="2:10">
      <c r="B75" s="22" t="s">
        <v>86</v>
      </c>
    </row>
    <row r="77" spans="2:10">
      <c r="B77" s="17" t="s">
        <v>87</v>
      </c>
      <c r="C77" s="157">
        <v>1.6</v>
      </c>
      <c r="D77" s="158"/>
      <c r="G77" s="159"/>
      <c r="H77" s="160"/>
      <c r="I77" s="161"/>
    </row>
    <row r="78" spans="2:10">
      <c r="B78" s="17" t="s">
        <v>88</v>
      </c>
      <c r="C78" s="162">
        <f>$C$77*$C$5*$C$36*$C$34</f>
        <v>159.99999999999997</v>
      </c>
      <c r="D78" s="163" t="s">
        <v>1</v>
      </c>
      <c r="E78" s="164" t="s">
        <v>1</v>
      </c>
      <c r="F78" s="165" t="s">
        <v>1</v>
      </c>
      <c r="G78" s="162">
        <f>$C$77*$C$5*$C$36*$C$34</f>
        <v>159.99999999999997</v>
      </c>
      <c r="H78" s="163" t="s">
        <v>1</v>
      </c>
      <c r="I78" s="164" t="s">
        <v>1</v>
      </c>
      <c r="J78" s="166"/>
    </row>
    <row r="79" spans="2:10">
      <c r="B79" s="17" t="s">
        <v>89</v>
      </c>
      <c r="C79" s="167">
        <f>$C$77*$C$5*(D79)*$C$34</f>
        <v>586.66666666666663</v>
      </c>
      <c r="D79" s="168">
        <f>($C$25-$E$26)</f>
        <v>10</v>
      </c>
      <c r="E79" s="169" t="s">
        <v>1</v>
      </c>
      <c r="F79" s="170" t="s">
        <v>1</v>
      </c>
      <c r="G79" s="167">
        <f>$C$77*$C$5*(H79)*$C$34</f>
        <v>293.33333333333331</v>
      </c>
      <c r="H79" s="168">
        <f>($C$25-$E$26)/2</f>
        <v>5</v>
      </c>
      <c r="I79" s="169" t="s">
        <v>1</v>
      </c>
      <c r="J79" s="171"/>
    </row>
    <row r="80" spans="2:10">
      <c r="C80" s="72" t="s">
        <v>1</v>
      </c>
      <c r="D80" s="172" t="s">
        <v>1</v>
      </c>
      <c r="E80" s="72" t="s">
        <v>1</v>
      </c>
      <c r="F80" s="173"/>
      <c r="G80" s="72" t="s">
        <v>1</v>
      </c>
      <c r="H80" s="172" t="s">
        <v>1</v>
      </c>
      <c r="I80" s="72" t="s">
        <v>1</v>
      </c>
      <c r="J80" s="174"/>
    </row>
    <row r="81" spans="2:15">
      <c r="B81" s="17" t="s">
        <v>90</v>
      </c>
      <c r="C81" s="175" t="s">
        <v>91</v>
      </c>
      <c r="D81" s="176" t="s">
        <v>92</v>
      </c>
      <c r="E81" s="177" t="s">
        <v>93</v>
      </c>
      <c r="F81" s="178"/>
      <c r="G81" s="175" t="s">
        <v>91</v>
      </c>
      <c r="H81" s="176" t="s">
        <v>92</v>
      </c>
      <c r="I81" s="179" t="s">
        <v>93</v>
      </c>
      <c r="J81" s="180"/>
    </row>
    <row r="82" spans="2:15">
      <c r="B82" s="17" t="s">
        <v>60</v>
      </c>
      <c r="C82" s="181">
        <f>C78*(D79)</f>
        <v>1599.9999999999998</v>
      </c>
      <c r="D82" s="182">
        <f>(D79)/2</f>
        <v>5</v>
      </c>
      <c r="E82" s="183">
        <f>C82*D82</f>
        <v>7999.9999999999991</v>
      </c>
      <c r="F82" s="184" t="s">
        <v>1</v>
      </c>
      <c r="G82" s="181">
        <f>G78*(H79)</f>
        <v>799.99999999999989</v>
      </c>
      <c r="H82" s="182">
        <f>(H79)/2</f>
        <v>2.5</v>
      </c>
      <c r="I82" s="183">
        <f>G82*H82</f>
        <v>1999.9999999999998</v>
      </c>
      <c r="J82" s="185"/>
    </row>
    <row r="83" spans="2:15">
      <c r="B83" s="17" t="s">
        <v>61</v>
      </c>
      <c r="C83" s="186">
        <f>C79*(D79)/2</f>
        <v>2933.333333333333</v>
      </c>
      <c r="D83" s="187">
        <f>(D79)/3</f>
        <v>3.3333333333333335</v>
      </c>
      <c r="E83" s="183">
        <f>C83*D83</f>
        <v>9777.7777777777774</v>
      </c>
      <c r="F83" s="188" t="s">
        <v>1</v>
      </c>
      <c r="G83" s="186">
        <f>G79*(H79)/2</f>
        <v>733.33333333333326</v>
      </c>
      <c r="H83" s="187">
        <f>(H79)/3</f>
        <v>1.6666666666666667</v>
      </c>
      <c r="I83" s="189">
        <f>G83*H83</f>
        <v>1222.2222222222222</v>
      </c>
      <c r="J83" s="190"/>
    </row>
    <row r="84" spans="2:15">
      <c r="B84" s="17" t="s">
        <v>94</v>
      </c>
      <c r="C84" s="186"/>
      <c r="D84" s="187"/>
      <c r="E84" s="183">
        <f>SUM(E82:E83)</f>
        <v>17777.777777777777</v>
      </c>
      <c r="F84" s="188"/>
      <c r="G84" s="186"/>
      <c r="H84" s="191"/>
      <c r="I84" s="183">
        <f>SUM(I82:I83)</f>
        <v>3222.2222222222217</v>
      </c>
      <c r="J84" s="192"/>
    </row>
    <row r="85" spans="2:15">
      <c r="C85" s="193"/>
      <c r="D85" s="194"/>
      <c r="E85" s="195"/>
      <c r="G85" s="196"/>
      <c r="H85" s="197"/>
      <c r="I85" s="198"/>
    </row>
    <row r="86" spans="2:15">
      <c r="B86" s="140" t="s">
        <v>95</v>
      </c>
      <c r="C86" s="193"/>
      <c r="D86" s="194"/>
      <c r="E86" s="195"/>
    </row>
    <row r="87" spans="2:15">
      <c r="B87" s="17" t="s">
        <v>96</v>
      </c>
      <c r="C87" s="193"/>
      <c r="D87" s="194"/>
      <c r="E87" s="195">
        <f>(C66-C67)/E27</f>
        <v>326.33138969873664</v>
      </c>
      <c r="F87" s="199" t="s">
        <v>97</v>
      </c>
      <c r="G87" s="200"/>
      <c r="H87" s="201"/>
      <c r="I87" s="202"/>
      <c r="J87" s="202"/>
      <c r="K87" s="203"/>
    </row>
    <row r="88" spans="2:15">
      <c r="C88" s="204" t="s">
        <v>98</v>
      </c>
      <c r="D88" s="205" t="s">
        <v>99</v>
      </c>
      <c r="E88" s="206" t="s">
        <v>94</v>
      </c>
      <c r="F88" s="207" t="s">
        <v>43</v>
      </c>
      <c r="G88" s="208" t="s">
        <v>100</v>
      </c>
      <c r="H88" s="209" t="s">
        <v>101</v>
      </c>
      <c r="I88" s="210" t="s">
        <v>102</v>
      </c>
      <c r="J88" s="210"/>
      <c r="K88" s="203"/>
    </row>
    <row r="89" spans="2:15">
      <c r="B89" s="17" t="s">
        <v>103</v>
      </c>
      <c r="C89" s="186">
        <f>E28-E26-2.5/12</f>
        <v>4.1666666666666657E-2</v>
      </c>
      <c r="D89" s="187">
        <f>1.6*(C66+C66-$E$87*C89)/2*C89</f>
        <v>163.30980050750455</v>
      </c>
      <c r="E89" s="183">
        <f>1.6*(($C$66-C89*$E$87)*C89^2/2+($E$87*C89*C89/2*C89*2/3))</f>
        <v>3.4054349969705684</v>
      </c>
      <c r="F89" s="211">
        <v>12</v>
      </c>
      <c r="G89" s="212">
        <f>E26*12</f>
        <v>12</v>
      </c>
      <c r="H89" s="213">
        <f>G89-2.5</f>
        <v>9.5</v>
      </c>
      <c r="I89" s="214">
        <f>0.75*2*SQRT($C$19)*F89*H89</f>
        <v>8550</v>
      </c>
      <c r="J89" s="214"/>
      <c r="K89" s="215" t="s">
        <v>1</v>
      </c>
    </row>
    <row r="90" spans="2:15">
      <c r="B90" s="17" t="s">
        <v>104</v>
      </c>
      <c r="C90" s="186">
        <f>E28</f>
        <v>1.25</v>
      </c>
      <c r="D90" s="187">
        <f>1.6*($C$66+$C$66-$E$87*C90)/2*C90</f>
        <v>4504.9769193391639</v>
      </c>
      <c r="E90" s="183">
        <f>1.6*(($C$66-C90*$E$87)*C90^2/2+($E$87*C90*C90/2*C90*2/3))</f>
        <v>2900.5927073210241</v>
      </c>
      <c r="F90" s="211">
        <v>12</v>
      </c>
      <c r="G90" s="216">
        <f>E26*12</f>
        <v>12</v>
      </c>
      <c r="H90" s="213">
        <f>G90-2.5</f>
        <v>9.5</v>
      </c>
      <c r="I90" s="214">
        <f>0.75*2*SQRT($C$19)*F90*H90</f>
        <v>8550</v>
      </c>
      <c r="J90" s="214"/>
      <c r="K90" s="217" t="s">
        <v>1</v>
      </c>
    </row>
    <row r="91" spans="2:15">
      <c r="B91" s="17" t="s">
        <v>105</v>
      </c>
      <c r="C91" s="186">
        <f>E28+E31/12+E26+2.5/12</f>
        <v>3.4583333333333335</v>
      </c>
      <c r="D91" s="187">
        <f>1.2*($C$25-$E$26)*($E$27-C91)*$C$5+1.5*($E$26)*($E$27-C91)*$C$21</f>
        <v>5471.875</v>
      </c>
      <c r="E91" s="183">
        <f>1.2*($C$25-$E$26)*($E$27-C91)^2*$C$5/2+1.5*($E$26)*($E$27-C91)^2*$C$21/2</f>
        <v>9689.7786458333321</v>
      </c>
      <c r="F91" s="211">
        <v>12</v>
      </c>
      <c r="G91" s="216">
        <f>E26*12</f>
        <v>12</v>
      </c>
      <c r="H91" s="213">
        <f>G91-2.5</f>
        <v>9.5</v>
      </c>
      <c r="I91" s="214">
        <f>0.75*2*SQRT($C$19)*F91*H91</f>
        <v>8550</v>
      </c>
      <c r="J91" s="214"/>
      <c r="K91" s="217" t="s">
        <v>1</v>
      </c>
    </row>
    <row r="92" spans="2:15">
      <c r="B92" s="17" t="s">
        <v>106</v>
      </c>
      <c r="C92" s="186">
        <f>E28+E31/12</f>
        <v>2.25</v>
      </c>
      <c r="D92" s="187">
        <f>1.2*($C$25-$E$26)*($E$27-C92)*$C$5+1.5*($E$26)*($E$27-C92)*$C$21</f>
        <v>7338.75</v>
      </c>
      <c r="E92" s="183">
        <f>1.2*($C$25-$E$26)*($E$27-C92)^2*$C$5/2+1.5*($E$26)*($E$27-C92)^2*$C$21/2</f>
        <v>17429.53125</v>
      </c>
      <c r="F92" s="211">
        <v>13</v>
      </c>
      <c r="G92" s="216">
        <f>E26*12</f>
        <v>12</v>
      </c>
      <c r="H92" s="213">
        <f>G92-2.5</f>
        <v>9.5</v>
      </c>
      <c r="I92" s="214">
        <f>0.75*2*SQRT($C$19)*F92*H92</f>
        <v>9262.5</v>
      </c>
      <c r="J92" s="214"/>
      <c r="K92" s="217"/>
    </row>
    <row r="93" spans="2:15">
      <c r="C93" s="193"/>
      <c r="D93" s="194"/>
      <c r="E93" s="195"/>
      <c r="F93" s="199"/>
      <c r="G93" s="200"/>
      <c r="H93" s="201"/>
      <c r="I93" s="202"/>
      <c r="J93" s="202"/>
      <c r="K93" s="203"/>
    </row>
    <row r="94" spans="2:15">
      <c r="C94" s="218" t="s">
        <v>94</v>
      </c>
      <c r="E94" s="219" t="s">
        <v>43</v>
      </c>
      <c r="F94" s="220" t="s">
        <v>100</v>
      </c>
      <c r="G94" s="221" t="s">
        <v>101</v>
      </c>
      <c r="H94" s="222" t="s">
        <v>107</v>
      </c>
      <c r="I94" s="223" t="s">
        <v>108</v>
      </c>
      <c r="J94" s="223" t="s">
        <v>109</v>
      </c>
      <c r="K94" s="224" t="s">
        <v>110</v>
      </c>
      <c r="L94" s="225" t="s">
        <v>111</v>
      </c>
      <c r="M94" s="226" t="s">
        <v>112</v>
      </c>
      <c r="N94" s="227" t="s">
        <v>113</v>
      </c>
    </row>
    <row r="95" spans="2:15">
      <c r="B95" s="17" t="s">
        <v>114</v>
      </c>
      <c r="C95" s="228">
        <f>SUM(E82:E83)</f>
        <v>17777.777777777777</v>
      </c>
      <c r="D95" s="229" t="s">
        <v>115</v>
      </c>
      <c r="E95" s="230">
        <v>12</v>
      </c>
      <c r="F95" s="231">
        <f>E31</f>
        <v>12</v>
      </c>
      <c r="G95" s="232">
        <f>F95-2.5</f>
        <v>9.5</v>
      </c>
      <c r="H95" s="233">
        <f>C95*12/E95/G95^2</f>
        <v>196.98368728839642</v>
      </c>
      <c r="I95" s="223">
        <f>Input!I40</f>
        <v>5.0000000000000001E-3</v>
      </c>
      <c r="J95" s="234">
        <f>0.85*I95*$C$20*(1-I95*$C$20/1.7/$C$19)</f>
        <v>200.00000000000003</v>
      </c>
      <c r="K95" s="235">
        <f>I95*E95*G95</f>
        <v>0.56999999999999995</v>
      </c>
      <c r="L95" s="236">
        <f>0.0015*E95*F95</f>
        <v>0.21600000000000003</v>
      </c>
      <c r="M95" s="237">
        <f>Input!M40</f>
        <v>0.75</v>
      </c>
      <c r="N95" s="238">
        <f>PI()/4*M95^2/MAX(K95:L95)*12</f>
        <v>9.3007677244434674</v>
      </c>
      <c r="O95" s="239" t="s">
        <v>39</v>
      </c>
    </row>
    <row r="96" spans="2:15">
      <c r="B96" s="240" t="s">
        <v>116</v>
      </c>
      <c r="C96" s="228">
        <f>E90</f>
        <v>2900.5927073210241</v>
      </c>
      <c r="D96" s="241" t="s">
        <v>115</v>
      </c>
      <c r="E96" s="242">
        <v>12</v>
      </c>
      <c r="F96" s="243">
        <f>E26*12</f>
        <v>12</v>
      </c>
      <c r="G96" s="232">
        <f>F96-2.5</f>
        <v>9.5</v>
      </c>
      <c r="H96" s="233">
        <f>C96*12/E96/G96^2</f>
        <v>32.13953138305844</v>
      </c>
      <c r="I96" s="223">
        <f>Input!I41</f>
        <v>1E-3</v>
      </c>
      <c r="J96" s="234">
        <f>0.85*I96*$C$20*(1-I96*$C$20/1.7/$C$19)</f>
        <v>42</v>
      </c>
      <c r="K96" s="235">
        <f>I96*E96*G96</f>
        <v>0.114</v>
      </c>
      <c r="L96" s="236">
        <f>0.0015*E96*F96</f>
        <v>0.21600000000000003</v>
      </c>
      <c r="M96" s="237">
        <f>Input!M41</f>
        <v>0.5</v>
      </c>
      <c r="N96" s="238">
        <f>PI()/4*M96^2/MAX(K96:L96)*12</f>
        <v>10.90830782496456</v>
      </c>
      <c r="O96" s="244" t="s">
        <v>40</v>
      </c>
    </row>
    <row r="97" spans="2:15">
      <c r="B97" s="245" t="s">
        <v>117</v>
      </c>
      <c r="C97" s="228">
        <f>E92</f>
        <v>17429.53125</v>
      </c>
      <c r="D97" s="246" t="s">
        <v>115</v>
      </c>
      <c r="E97" s="247">
        <v>12</v>
      </c>
      <c r="F97" s="248">
        <f>E26*12</f>
        <v>12</v>
      </c>
      <c r="G97" s="232">
        <f>F97-2.5</f>
        <v>9.5</v>
      </c>
      <c r="H97" s="233">
        <f>C97*12/E97/G97^2</f>
        <v>193.125</v>
      </c>
      <c r="I97" s="223">
        <f>Input!I42</f>
        <v>5.0000000000000001E-3</v>
      </c>
      <c r="J97" s="234">
        <f>0.85*I97*$C$20*(1-I97*$C$20/1.7/$C$19)</f>
        <v>200.00000000000003</v>
      </c>
      <c r="K97" s="235">
        <f>I97*E97*G97</f>
        <v>0.56999999999999995</v>
      </c>
      <c r="L97" s="236">
        <f>0.0015*E97*F97</f>
        <v>0.21600000000000003</v>
      </c>
      <c r="M97" s="237">
        <f>Input!M42</f>
        <v>0.625</v>
      </c>
      <c r="N97" s="238">
        <f>PI()/4*M97^2/MAX(K97:L97)*12</f>
        <v>6.4588664753079641</v>
      </c>
      <c r="O97" s="249" t="s">
        <v>41</v>
      </c>
    </row>
    <row r="98" spans="2:15">
      <c r="E98" s="250"/>
    </row>
    <row r="99" spans="2:15">
      <c r="B99" s="17" t="s">
        <v>118</v>
      </c>
    </row>
    <row r="100" spans="2:15">
      <c r="C100" s="17" t="s">
        <v>100</v>
      </c>
      <c r="D100" s="251" t="s">
        <v>111</v>
      </c>
      <c r="E100" s="252" t="s">
        <v>119</v>
      </c>
      <c r="F100" s="253" t="s">
        <v>120</v>
      </c>
      <c r="G100" s="254" t="s">
        <v>113</v>
      </c>
    </row>
    <row r="101" spans="2:15">
      <c r="B101" s="255" t="str">
        <f>B95</f>
        <v>Stem</v>
      </c>
      <c r="C101" s="256">
        <f>F95</f>
        <v>12</v>
      </c>
      <c r="D101" s="257">
        <f>0.002*12*C101</f>
        <v>0.28800000000000003</v>
      </c>
      <c r="E101" s="258">
        <f>0.5*K95</f>
        <v>0.28499999999999998</v>
      </c>
      <c r="F101" s="259">
        <f>Input!F46</f>
        <v>0.5</v>
      </c>
      <c r="G101" s="260">
        <f>PI()/4*F101^2/MAX(D101:E101)*12</f>
        <v>8.1812308687234179</v>
      </c>
      <c r="H101" s="261" t="s">
        <v>42</v>
      </c>
      <c r="K101" s="17" t="s">
        <v>1</v>
      </c>
    </row>
    <row r="102" spans="2:15">
      <c r="B102" s="255" t="str">
        <f>B96</f>
        <v>Toe</v>
      </c>
      <c r="C102" s="262">
        <f>F96</f>
        <v>12</v>
      </c>
      <c r="D102" s="257">
        <f>0.002*12*C102</f>
        <v>0.28800000000000003</v>
      </c>
      <c r="E102" s="258">
        <f>0.5*K96</f>
        <v>5.7000000000000002E-2</v>
      </c>
      <c r="F102" s="259">
        <f>Input!F47</f>
        <v>0.5</v>
      </c>
      <c r="G102" s="260">
        <f>PI()/4*F102^2/MAX(D102:E102)*12</f>
        <v>8.1812308687234179</v>
      </c>
      <c r="H102" s="263" t="s">
        <v>43</v>
      </c>
    </row>
    <row r="103" spans="2:15">
      <c r="B103" s="255" t="str">
        <f>B97</f>
        <v>Heel</v>
      </c>
      <c r="C103" s="264">
        <f>F97</f>
        <v>12</v>
      </c>
      <c r="D103" s="257">
        <f>0.002*12*C103</f>
        <v>0.28800000000000003</v>
      </c>
      <c r="E103" s="258">
        <f>0.5*K97</f>
        <v>0.28499999999999998</v>
      </c>
      <c r="F103" s="259">
        <f>Input!F48</f>
        <v>0.5</v>
      </c>
      <c r="G103" s="260">
        <f>PI()/4*F103^2/MAX(D103:E103)*12</f>
        <v>8.1812308687234179</v>
      </c>
      <c r="H103" s="265" t="s">
        <v>44</v>
      </c>
    </row>
  </sheetData>
  <sheetProtection password="CC88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11"/>
  <sheetViews>
    <sheetView topLeftCell="C1" workbookViewId="0">
      <selection activeCell="L16" sqref="L16"/>
    </sheetView>
  </sheetViews>
  <sheetFormatPr defaultRowHeight="15"/>
  <cols>
    <col min="3" max="3" width="9.7109375" bestFit="1" customWidth="1"/>
    <col min="4" max="5" width="5.5703125" bestFit="1" customWidth="1"/>
    <col min="6" max="6" width="6.140625" bestFit="1" customWidth="1"/>
    <col min="7" max="7" width="6" bestFit="1" customWidth="1"/>
    <col min="8" max="9" width="5.5703125" bestFit="1" customWidth="1"/>
    <col min="10" max="10" width="6.5703125" bestFit="1" customWidth="1"/>
    <col min="11" max="11" width="5.5703125" bestFit="1" customWidth="1"/>
    <col min="12" max="12" width="6.5703125" bestFit="1" customWidth="1"/>
    <col min="13" max="13" width="5.5703125" bestFit="1" customWidth="1"/>
    <col min="14" max="14" width="6.5703125" bestFit="1" customWidth="1"/>
    <col min="15" max="22" width="5.5703125" bestFit="1" customWidth="1"/>
  </cols>
  <sheetData>
    <row r="2" spans="3:22">
      <c r="C2" s="293">
        <f>Input!C11</f>
        <v>300</v>
      </c>
      <c r="D2" s="293">
        <f>Input!C13</f>
        <v>8</v>
      </c>
      <c r="E2" s="293">
        <f>Input!C14</f>
        <v>3</v>
      </c>
      <c r="F2" s="293">
        <f>Input!E27</f>
        <v>1</v>
      </c>
      <c r="G2" s="293">
        <f>Input!E28</f>
        <v>7</v>
      </c>
      <c r="H2" s="293">
        <f>Input!E29</f>
        <v>1.25</v>
      </c>
      <c r="I2" s="293">
        <f>Input!E31</f>
        <v>8</v>
      </c>
      <c r="J2" s="293">
        <f>Input!E32</f>
        <v>12</v>
      </c>
      <c r="K2" s="293">
        <f>Input!M40</f>
        <v>0.75</v>
      </c>
      <c r="L2" s="293">
        <f>Input!N40</f>
        <v>9.3007677244434674</v>
      </c>
      <c r="M2" s="293">
        <f>Input!M41</f>
        <v>0.5</v>
      </c>
      <c r="N2" s="293">
        <f>Input!N41</f>
        <v>10.90830782496456</v>
      </c>
      <c r="O2" s="293">
        <f>Input!M42</f>
        <v>0.625</v>
      </c>
      <c r="P2" s="293">
        <f>Input!N42</f>
        <v>6.4588664753079641</v>
      </c>
      <c r="Q2" s="293">
        <f>Input!F46</f>
        <v>0.5</v>
      </c>
      <c r="R2" s="293">
        <f>Input!G46</f>
        <v>8.1812308687234179</v>
      </c>
      <c r="S2" s="293">
        <f>Input!F47</f>
        <v>0.5</v>
      </c>
      <c r="T2" s="293">
        <f>Input!G47</f>
        <v>8.1812308687234179</v>
      </c>
      <c r="U2" s="293">
        <f>Input!F48</f>
        <v>0.5</v>
      </c>
      <c r="V2" s="293">
        <f>Input!G48</f>
        <v>8.1812308687234179</v>
      </c>
    </row>
    <row r="3" spans="3:22" s="292" customFormat="1" ht="30">
      <c r="C3" s="294" t="s">
        <v>123</v>
      </c>
      <c r="D3" s="294" t="s">
        <v>136</v>
      </c>
      <c r="E3" s="294" t="s">
        <v>137</v>
      </c>
      <c r="F3" s="294" t="s">
        <v>124</v>
      </c>
      <c r="G3" s="294" t="s">
        <v>125</v>
      </c>
      <c r="H3" s="294" t="s">
        <v>126</v>
      </c>
      <c r="I3" s="294" t="s">
        <v>127</v>
      </c>
      <c r="J3" s="294" t="s">
        <v>128</v>
      </c>
      <c r="K3" s="294" t="s">
        <v>129</v>
      </c>
      <c r="L3" s="294" t="s">
        <v>130</v>
      </c>
      <c r="M3" s="294" t="s">
        <v>129</v>
      </c>
      <c r="N3" s="294" t="s">
        <v>131</v>
      </c>
      <c r="O3" s="294" t="s">
        <v>129</v>
      </c>
      <c r="P3" s="294" t="s">
        <v>132</v>
      </c>
      <c r="Q3" s="294" t="s">
        <v>129</v>
      </c>
      <c r="R3" s="294" t="s">
        <v>133</v>
      </c>
      <c r="S3" s="294" t="s">
        <v>129</v>
      </c>
      <c r="T3" s="294" t="s">
        <v>134</v>
      </c>
      <c r="U3" s="294" t="s">
        <v>129</v>
      </c>
      <c r="V3" s="294" t="s">
        <v>135</v>
      </c>
    </row>
    <row r="4" spans="3:22">
      <c r="C4" s="295">
        <v>450</v>
      </c>
      <c r="D4" s="295">
        <v>6</v>
      </c>
      <c r="E4" s="295">
        <v>3</v>
      </c>
      <c r="F4" s="295">
        <v>1</v>
      </c>
      <c r="G4" s="295">
        <v>6.5</v>
      </c>
      <c r="H4" s="295">
        <v>1.75</v>
      </c>
      <c r="I4" s="295">
        <v>8</v>
      </c>
      <c r="J4" s="295">
        <v>12</v>
      </c>
      <c r="K4" s="295">
        <v>0.75</v>
      </c>
      <c r="L4" s="295">
        <v>13.286811034919236</v>
      </c>
      <c r="M4" s="295">
        <v>0.5</v>
      </c>
      <c r="N4" s="295">
        <v>10.90830782496456</v>
      </c>
      <c r="O4" s="295">
        <v>0.5</v>
      </c>
      <c r="P4" s="295">
        <v>8.6118219670772831</v>
      </c>
      <c r="Q4" s="295">
        <v>0.5</v>
      </c>
      <c r="R4" s="295">
        <v>8.1812308687234179</v>
      </c>
      <c r="S4" s="295">
        <v>0.5</v>
      </c>
      <c r="T4" s="295">
        <v>8.1812308687234179</v>
      </c>
      <c r="U4" s="295">
        <v>0.5</v>
      </c>
      <c r="V4" s="295">
        <v>8.1812308687234179</v>
      </c>
    </row>
    <row r="5" spans="3:22">
      <c r="C5" s="295">
        <v>450</v>
      </c>
      <c r="D5" s="295">
        <v>8</v>
      </c>
      <c r="E5" s="295">
        <v>3</v>
      </c>
      <c r="F5" s="295">
        <v>1</v>
      </c>
      <c r="G5" s="295">
        <v>7</v>
      </c>
      <c r="H5" s="295">
        <v>2.25</v>
      </c>
      <c r="I5" s="295">
        <v>8</v>
      </c>
      <c r="J5" s="295">
        <v>12</v>
      </c>
      <c r="K5" s="295">
        <v>0.75</v>
      </c>
      <c r="L5" s="295">
        <v>6.6434055174596178</v>
      </c>
      <c r="M5" s="295">
        <v>0.5</v>
      </c>
      <c r="N5" s="295">
        <v>8.2673490883941945</v>
      </c>
      <c r="O5" s="295">
        <v>0.5</v>
      </c>
      <c r="P5" s="295">
        <v>6.8894575736618267</v>
      </c>
      <c r="Q5" s="295">
        <v>0.5</v>
      </c>
      <c r="R5" s="295">
        <v>5.905249348852994</v>
      </c>
      <c r="S5" s="295">
        <v>0.5</v>
      </c>
      <c r="T5" s="295">
        <v>8.1812308687234179</v>
      </c>
      <c r="U5" s="295">
        <v>0.5</v>
      </c>
      <c r="V5" s="295">
        <v>8.1812308687234179</v>
      </c>
    </row>
    <row r="6" spans="3:22">
      <c r="C6" s="295">
        <v>450</v>
      </c>
      <c r="D6" s="295">
        <v>10</v>
      </c>
      <c r="E6" s="295">
        <v>4</v>
      </c>
      <c r="F6" s="295">
        <v>1.25</v>
      </c>
      <c r="G6" s="295">
        <v>8.5</v>
      </c>
      <c r="H6" s="295">
        <v>2.5</v>
      </c>
      <c r="I6" s="295">
        <v>12</v>
      </c>
      <c r="J6" s="295">
        <v>16</v>
      </c>
      <c r="K6" s="295">
        <v>0.75</v>
      </c>
      <c r="L6" s="295">
        <v>5.949986086344305</v>
      </c>
      <c r="M6" s="295">
        <v>0.625</v>
      </c>
      <c r="N6" s="295">
        <v>10.671170698334896</v>
      </c>
      <c r="O6" s="295">
        <v>0.625</v>
      </c>
      <c r="P6" s="295">
        <v>7.0124836017629315</v>
      </c>
      <c r="Q6" s="295">
        <v>0.625</v>
      </c>
      <c r="R6" s="295">
        <v>8.2638695643670914</v>
      </c>
      <c r="S6" s="295">
        <v>0.5</v>
      </c>
      <c r="T6" s="295">
        <v>6.5449846949787363</v>
      </c>
      <c r="U6" s="295">
        <v>0.5</v>
      </c>
      <c r="V6" s="295">
        <v>6.5449846949787363</v>
      </c>
    </row>
    <row r="7" spans="3:22"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</row>
    <row r="8" spans="3:22">
      <c r="C8" s="295">
        <v>300</v>
      </c>
      <c r="D8" s="295">
        <v>6</v>
      </c>
      <c r="E8" s="295">
        <v>3</v>
      </c>
      <c r="F8" s="295">
        <v>1</v>
      </c>
      <c r="G8" s="295">
        <v>7</v>
      </c>
      <c r="H8" s="295">
        <v>1.25</v>
      </c>
      <c r="I8" s="295">
        <v>8</v>
      </c>
      <c r="J8" s="295">
        <v>12</v>
      </c>
      <c r="K8" s="295">
        <v>0.75</v>
      </c>
      <c r="L8" s="295">
        <v>15.501279540739111</v>
      </c>
      <c r="M8" s="295">
        <v>0.5</v>
      </c>
      <c r="N8" s="295">
        <v>10.90830782496456</v>
      </c>
      <c r="O8" s="295">
        <v>0.625</v>
      </c>
      <c r="P8" s="295">
        <v>10.764777458846604</v>
      </c>
      <c r="Q8" s="295">
        <v>0.5</v>
      </c>
      <c r="R8" s="295">
        <v>8.1812308687234179</v>
      </c>
      <c r="S8" s="295">
        <v>0.5</v>
      </c>
      <c r="T8" s="295">
        <v>8.1812308687234179</v>
      </c>
      <c r="U8" s="295">
        <v>0.5</v>
      </c>
      <c r="V8" s="295">
        <v>8.1812308687234179</v>
      </c>
    </row>
    <row r="9" spans="3:22">
      <c r="C9" s="295">
        <v>300</v>
      </c>
      <c r="D9" s="295">
        <v>8</v>
      </c>
      <c r="E9" s="295">
        <v>3</v>
      </c>
      <c r="F9" s="295">
        <v>1</v>
      </c>
      <c r="G9" s="295">
        <v>7</v>
      </c>
      <c r="H9" s="295">
        <v>1.25</v>
      </c>
      <c r="I9" s="295">
        <v>8</v>
      </c>
      <c r="J9" s="295">
        <v>12</v>
      </c>
      <c r="K9" s="295">
        <v>0.75</v>
      </c>
      <c r="L9" s="295">
        <v>9.3007677244434674</v>
      </c>
      <c r="M9" s="295">
        <v>0.5</v>
      </c>
      <c r="N9" s="295">
        <v>10.90830782496456</v>
      </c>
      <c r="O9" s="295">
        <v>0.625</v>
      </c>
      <c r="P9" s="295">
        <v>6.4588664753079641</v>
      </c>
      <c r="Q9" s="295">
        <v>0.5</v>
      </c>
      <c r="R9" s="295">
        <v>8.1812308687234179</v>
      </c>
      <c r="S9" s="295">
        <v>0.5</v>
      </c>
      <c r="T9" s="295">
        <v>8.1812308687234179</v>
      </c>
      <c r="U9" s="295">
        <v>0.5</v>
      </c>
      <c r="V9" s="295">
        <v>8.1812308687234179</v>
      </c>
    </row>
    <row r="10" spans="3:22">
      <c r="C10" s="295">
        <v>300</v>
      </c>
      <c r="D10" s="295">
        <v>10</v>
      </c>
      <c r="E10" s="295">
        <v>4</v>
      </c>
      <c r="F10" s="295">
        <v>1.25</v>
      </c>
      <c r="G10" s="295">
        <v>8</v>
      </c>
      <c r="H10" s="295">
        <v>2</v>
      </c>
      <c r="I10" s="295">
        <v>12</v>
      </c>
      <c r="J10" s="295">
        <v>16</v>
      </c>
      <c r="K10" s="295">
        <v>0.75</v>
      </c>
      <c r="L10" s="295">
        <v>6.5449846949787363</v>
      </c>
      <c r="M10" s="295">
        <v>0.625</v>
      </c>
      <c r="N10" s="295">
        <v>12.27184630308513</v>
      </c>
      <c r="O10" s="295">
        <v>0.625</v>
      </c>
      <c r="P10" s="295">
        <v>7.2187331194618416</v>
      </c>
      <c r="Q10" s="295">
        <v>0.625</v>
      </c>
      <c r="R10" s="295">
        <v>9.0902565208038002</v>
      </c>
      <c r="S10" s="295">
        <v>0.5</v>
      </c>
      <c r="T10" s="295">
        <v>6.5449846949787363</v>
      </c>
      <c r="U10" s="295">
        <v>0.5</v>
      </c>
      <c r="V10" s="295">
        <v>6.5449846949787363</v>
      </c>
    </row>
    <row r="11" spans="3:22"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Sheet1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An,Fengyi</dc:creator>
  <cp:lastModifiedBy>User</cp:lastModifiedBy>
  <dcterms:created xsi:type="dcterms:W3CDTF">2006-09-16T00:00:00Z</dcterms:created>
  <dcterms:modified xsi:type="dcterms:W3CDTF">2018-02-18T16:52:03Z</dcterms:modified>
</cp:coreProperties>
</file>